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4868C40-9A08-4151-86CD-5BBBEEB863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Hlk14532974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20" i="1" l="1"/>
  <c r="C20" i="1"/>
  <c r="H5" i="1"/>
  <c r="AY20" i="1" l="1"/>
  <c r="AZ20" i="1" l="1"/>
  <c r="BA9" i="1"/>
  <c r="BA10" i="1"/>
  <c r="BA11" i="1" l="1"/>
  <c r="AX20" i="1"/>
  <c r="AW20" i="1" l="1"/>
  <c r="AV20" i="1" l="1"/>
  <c r="AU20" i="1" l="1"/>
  <c r="BA8" i="1"/>
  <c r="AT20" i="1"/>
  <c r="AS20" i="1"/>
  <c r="AR20" i="1"/>
  <c r="AQ20" i="1"/>
  <c r="AP20" i="1" l="1"/>
  <c r="AO20" i="1"/>
  <c r="AN20" i="1"/>
  <c r="BA12" i="1"/>
  <c r="AM20" i="1" l="1"/>
  <c r="BA14" i="1"/>
  <c r="AL20" i="1" l="1"/>
  <c r="AK20" i="1"/>
  <c r="AJ20" i="1" l="1"/>
  <c r="AI20" i="1"/>
  <c r="AH20" i="1"/>
  <c r="AG20" i="1"/>
  <c r="AF20" i="1"/>
  <c r="AJ37" i="2"/>
  <c r="BA13" i="1"/>
  <c r="AE20" i="1"/>
  <c r="AJ76" i="2" l="1"/>
  <c r="AJ65" i="2"/>
  <c r="AJ55" i="2"/>
  <c r="AJ46" i="2"/>
  <c r="AJ21" i="2"/>
  <c r="AJ12" i="2"/>
  <c r="X85" i="2"/>
  <c r="AB84" i="2"/>
  <c r="AA84" i="2"/>
  <c r="Z84" i="2"/>
  <c r="Y84" i="2"/>
  <c r="C84" i="2"/>
  <c r="W83" i="2"/>
  <c r="C83" i="2"/>
  <c r="AI81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AF79" i="2"/>
  <c r="AF78" i="2"/>
  <c r="AF77" i="2"/>
  <c r="AF76" i="2"/>
  <c r="AF75" i="2"/>
  <c r="AF74" i="2"/>
  <c r="AF73" i="2"/>
  <c r="AF72" i="2"/>
  <c r="AF71" i="2"/>
  <c r="AF70" i="2"/>
  <c r="AE69" i="2"/>
  <c r="AD69" i="2"/>
  <c r="AC69" i="2"/>
  <c r="AB69" i="2"/>
  <c r="AA69" i="2"/>
  <c r="Z69" i="2"/>
  <c r="Y69" i="2"/>
  <c r="X69" i="2"/>
  <c r="W69" i="2"/>
  <c r="V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AF68" i="2"/>
  <c r="AF67" i="2"/>
  <c r="AF66" i="2"/>
  <c r="AF65" i="2"/>
  <c r="AF64" i="2"/>
  <c r="AF63" i="2"/>
  <c r="AF62" i="2"/>
  <c r="U61" i="2"/>
  <c r="U69" i="2" s="1"/>
  <c r="AF60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G59" i="2"/>
  <c r="F59" i="2"/>
  <c r="E59" i="2"/>
  <c r="D59" i="2"/>
  <c r="C59" i="2"/>
  <c r="AF58" i="2"/>
  <c r="AF57" i="2"/>
  <c r="AF56" i="2"/>
  <c r="AF55" i="2"/>
  <c r="AF54" i="2"/>
  <c r="AF53" i="2"/>
  <c r="AF52" i="2"/>
  <c r="L51" i="2"/>
  <c r="L59" i="2" s="1"/>
  <c r="K51" i="2"/>
  <c r="K59" i="2" s="1"/>
  <c r="J51" i="2"/>
  <c r="J59" i="2" s="1"/>
  <c r="I51" i="2"/>
  <c r="I59" i="2" s="1"/>
  <c r="H51" i="2"/>
  <c r="H59" i="2" s="1"/>
  <c r="AF50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I49" i="2"/>
  <c r="H49" i="2"/>
  <c r="G49" i="2"/>
  <c r="F49" i="2"/>
  <c r="E49" i="2"/>
  <c r="D49" i="2"/>
  <c r="C49" i="2"/>
  <c r="AF48" i="2"/>
  <c r="AF47" i="2"/>
  <c r="AF46" i="2"/>
  <c r="AF45" i="2"/>
  <c r="AH44" i="2"/>
  <c r="AF44" i="2"/>
  <c r="AF43" i="2"/>
  <c r="L42" i="2"/>
  <c r="L49" i="2" s="1"/>
  <c r="K42" i="2"/>
  <c r="K49" i="2" s="1"/>
  <c r="J42" i="2"/>
  <c r="J49" i="2" s="1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H40" i="2"/>
  <c r="G40" i="2"/>
  <c r="F40" i="2"/>
  <c r="E40" i="2"/>
  <c r="D40" i="2"/>
  <c r="C40" i="2"/>
  <c r="AF39" i="2"/>
  <c r="AF38" i="2"/>
  <c r="AF37" i="2"/>
  <c r="AF36" i="2"/>
  <c r="AF35" i="2"/>
  <c r="AF34" i="2"/>
  <c r="AF33" i="2"/>
  <c r="L32" i="2"/>
  <c r="L40" i="2" s="1"/>
  <c r="K32" i="2"/>
  <c r="K40" i="2" s="1"/>
  <c r="J32" i="2"/>
  <c r="J40" i="2" s="1"/>
  <c r="I32" i="2"/>
  <c r="I40" i="2" s="1"/>
  <c r="AF31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D30" i="2"/>
  <c r="C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L17" i="2"/>
  <c r="L30" i="2" s="1"/>
  <c r="K17" i="2"/>
  <c r="K30" i="2" s="1"/>
  <c r="J17" i="2"/>
  <c r="J30" i="2" s="1"/>
  <c r="I17" i="2"/>
  <c r="I30" i="2" s="1"/>
  <c r="H17" i="2"/>
  <c r="H30" i="2" s="1"/>
  <c r="G17" i="2"/>
  <c r="G30" i="2" s="1"/>
  <c r="F17" i="2"/>
  <c r="F30" i="2" s="1"/>
  <c r="E17" i="2"/>
  <c r="AF1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C15" i="2"/>
  <c r="AF14" i="2"/>
  <c r="AF13" i="2"/>
  <c r="AF12" i="2"/>
  <c r="AF11" i="2"/>
  <c r="AF10" i="2"/>
  <c r="AF9" i="2"/>
  <c r="AF8" i="2"/>
  <c r="AF7" i="2"/>
  <c r="AF6" i="2"/>
  <c r="L5" i="2"/>
  <c r="L15" i="2" s="1"/>
  <c r="K5" i="2"/>
  <c r="K15" i="2" s="1"/>
  <c r="J5" i="2"/>
  <c r="J15" i="2" s="1"/>
  <c r="I5" i="2"/>
  <c r="I15" i="2" s="1"/>
  <c r="H5" i="2"/>
  <c r="H15" i="2" s="1"/>
  <c r="G5" i="2"/>
  <c r="G15" i="2" s="1"/>
  <c r="F5" i="2"/>
  <c r="F15" i="2" s="1"/>
  <c r="E5" i="2"/>
  <c r="E15" i="2" s="1"/>
  <c r="D5" i="2"/>
  <c r="D15" i="2" s="1"/>
  <c r="AD20" i="1"/>
  <c r="BA6" i="1"/>
  <c r="AE81" i="2" l="1"/>
  <c r="M81" i="2"/>
  <c r="O81" i="2"/>
  <c r="Q81" i="2"/>
  <c r="S81" i="2"/>
  <c r="U81" i="2"/>
  <c r="W81" i="2"/>
  <c r="Y81" i="2"/>
  <c r="AA81" i="2"/>
  <c r="AC81" i="2"/>
  <c r="AF17" i="2"/>
  <c r="AF30" i="2" s="1"/>
  <c r="AF80" i="2"/>
  <c r="D81" i="2"/>
  <c r="F81" i="2"/>
  <c r="H81" i="2"/>
  <c r="J81" i="2"/>
  <c r="L81" i="2"/>
  <c r="C81" i="2"/>
  <c r="N81" i="2"/>
  <c r="P81" i="2"/>
  <c r="R81" i="2"/>
  <c r="T81" i="2"/>
  <c r="V81" i="2"/>
  <c r="X81" i="2"/>
  <c r="Z81" i="2"/>
  <c r="AB81" i="2"/>
  <c r="AD81" i="2"/>
  <c r="AJ86" i="2"/>
  <c r="AH37" i="2"/>
  <c r="G81" i="2"/>
  <c r="I81" i="2"/>
  <c r="K81" i="2"/>
  <c r="E30" i="2"/>
  <c r="E81" i="2" s="1"/>
  <c r="AJ87" i="2"/>
  <c r="AF32" i="2"/>
  <c r="AF40" i="2" s="1"/>
  <c r="AF42" i="2"/>
  <c r="AF49" i="2" s="1"/>
  <c r="AF51" i="2"/>
  <c r="AF59" i="2" s="1"/>
  <c r="AF61" i="2"/>
  <c r="AF69" i="2" s="1"/>
  <c r="AF5" i="2"/>
  <c r="AF15" i="2" s="1"/>
  <c r="AC20" i="1"/>
  <c r="BA19" i="1"/>
  <c r="BA18" i="1"/>
  <c r="BA17" i="1"/>
  <c r="BA16" i="1"/>
  <c r="BA15" i="1"/>
  <c r="BA7" i="1"/>
  <c r="AB20" i="1"/>
  <c r="AF81" i="2" l="1"/>
  <c r="Z20" i="1"/>
  <c r="AA20" i="1"/>
  <c r="Y20" i="1" l="1"/>
  <c r="X20" i="1"/>
  <c r="W20" i="1"/>
  <c r="V20" i="1"/>
  <c r="U20" i="1"/>
  <c r="T20" i="1"/>
  <c r="S20" i="1"/>
  <c r="R20" i="1"/>
  <c r="Q20" i="1"/>
  <c r="P20" i="1"/>
  <c r="O20" i="1"/>
  <c r="N20" i="1"/>
  <c r="M20" i="1"/>
  <c r="G20" i="1"/>
  <c r="F20" i="1"/>
  <c r="E20" i="1"/>
  <c r="L20" i="1"/>
  <c r="K20" i="1"/>
  <c r="J20" i="1"/>
  <c r="I20" i="1"/>
  <c r="BA4" i="1"/>
  <c r="BA5" i="1" l="1"/>
  <c r="H20" i="1"/>
</calcChain>
</file>

<file path=xl/sharedStrings.xml><?xml version="1.0" encoding="utf-8"?>
<sst xmlns="http://schemas.openxmlformats.org/spreadsheetml/2006/main" count="175" uniqueCount="110">
  <si>
    <t>Адреса МКД</t>
  </si>
  <si>
    <t>Л-20</t>
  </si>
  <si>
    <t>резерв</t>
  </si>
  <si>
    <t>аренда 1</t>
  </si>
  <si>
    <t>аренда 2</t>
  </si>
  <si>
    <t>аренда 3</t>
  </si>
  <si>
    <t>Л-18</t>
  </si>
  <si>
    <t>Л-22</t>
  </si>
  <si>
    <t>В-36</t>
  </si>
  <si>
    <t>Площадь жилых</t>
  </si>
  <si>
    <t>итого нарастающим итогом с начала года</t>
  </si>
  <si>
    <t>Снятие средств</t>
  </si>
  <si>
    <t>Размер резерва (руб/кв.м.), аренды (руб.)</t>
  </si>
  <si>
    <t>Итого по дому</t>
  </si>
  <si>
    <t>12            2019 г.</t>
  </si>
  <si>
    <t>Средства резервного фонда, аренды 2020г.</t>
  </si>
  <si>
    <t>ВСЕГО  по жилищному Фонду</t>
  </si>
  <si>
    <t>Л-107</t>
  </si>
  <si>
    <t>Договор 4/20 от 17.07.2020</t>
  </si>
  <si>
    <t>Договор 18/07-20 от 01.06.2020</t>
  </si>
  <si>
    <t>Договор 2/20 от 13.07.2020</t>
  </si>
  <si>
    <t>Договор 6/20 от 24.07.2020</t>
  </si>
  <si>
    <t>Договор 7/20 от 13.08.2020</t>
  </si>
  <si>
    <t>Договор 8/20 от 13.08.2020</t>
  </si>
  <si>
    <t>Договор 9К26/2020 от 01.06.2020</t>
  </si>
  <si>
    <t>Договор №39/20 от 14.09.2020</t>
  </si>
  <si>
    <t>Договор 9/20 от 01.09.2020</t>
  </si>
  <si>
    <t>Договор 4а/20 от 24.07.2020</t>
  </si>
  <si>
    <t>4000/5600</t>
  </si>
  <si>
    <t>В-26</t>
  </si>
  <si>
    <t xml:space="preserve">Счет-договор №64 от 15.02.2021 +транспортировка </t>
  </si>
  <si>
    <t>Договор 6/21 от 23.06.2021</t>
  </si>
  <si>
    <t>Договор №5/21 от 23.06.2021</t>
  </si>
  <si>
    <t>Договор 2/21 от 24.06.2021</t>
  </si>
  <si>
    <t>Договор 4/21 от 17.06.2021</t>
  </si>
  <si>
    <t>Изготовление скамеек 1,2 п</t>
  </si>
  <si>
    <t>договор №26-07/2021 от 26.07.2021</t>
  </si>
  <si>
    <t>Снятие средств (решетки)</t>
  </si>
  <si>
    <t>Л-59</t>
  </si>
  <si>
    <t>Договор</t>
  </si>
  <si>
    <t>договор №7/21 от 09.07.2021 швы - 85м.п. Кровля 50 м.кв.</t>
  </si>
  <si>
    <t>Договор 7/21 от 09.07.2021 (швы) 76,4 п.м.</t>
  </si>
  <si>
    <t>договор №7/21 от 09.07.2021 швы - 43,5м.</t>
  </si>
  <si>
    <t>Снятие средств (швы)</t>
  </si>
  <si>
    <t xml:space="preserve">Снятие средств </t>
  </si>
  <si>
    <t>договор №7/21 от 09.07.2021 замена люка выхода на кровлю</t>
  </si>
  <si>
    <t>Снятие средств (асфальтирование)</t>
  </si>
  <si>
    <t>Снятие средств Почтовые ящики)</t>
  </si>
  <si>
    <t>Снятие средств (ремонт кровли 7п. Машинка + карнизы арка)</t>
  </si>
  <si>
    <t>Снятие средств (ремонт асфальта перед 5п)</t>
  </si>
  <si>
    <t>Договор 10/21 от 06.09.2021</t>
  </si>
  <si>
    <t>Договор 9/21 от 06.09.2021 + доп.соглш.</t>
  </si>
  <si>
    <t xml:space="preserve">Договор 1/21 от 09.06.2021 </t>
  </si>
  <si>
    <t>Снятие средств (входные группы)</t>
  </si>
  <si>
    <t>договор №17/21 от 06.11.2021 15 окон в 4 п.</t>
  </si>
  <si>
    <t>Снятие средств (тек.ремонт 4п.)</t>
  </si>
  <si>
    <t>договор №21/21 от 30.12.2021 тек.ремонт 4п.</t>
  </si>
  <si>
    <t>аренда 4</t>
  </si>
  <si>
    <t>Снятие средств (материалы сантехнические на ремонт канализации в подвале 2п.)</t>
  </si>
  <si>
    <t xml:space="preserve">Счет №2006  от 13.01.2022 </t>
  </si>
  <si>
    <t>Снятие средств (приобретение и установка повыситильного насоса на систему ГВС)</t>
  </si>
  <si>
    <t>Счет №</t>
  </si>
  <si>
    <t>Снятие средств (почтовые ящики Доплата. (7760 ящики + 12720 шильдики)</t>
  </si>
  <si>
    <t>Счет № 365 от 23.11.2021</t>
  </si>
  <si>
    <r>
      <t>Договор 1/20 от 16.06.</t>
    </r>
    <r>
      <rPr>
        <sz val="11"/>
        <color rgb="FFFF0000"/>
        <rFont val="Calibri"/>
        <family val="2"/>
        <charset val="204"/>
        <scheme val="minor"/>
      </rPr>
      <t>2020</t>
    </r>
  </si>
  <si>
    <r>
      <t>Договор 5/20 от 24.07.</t>
    </r>
    <r>
      <rPr>
        <sz val="11"/>
        <color rgb="FFFF0000"/>
        <rFont val="Calibri"/>
        <family val="2"/>
        <charset val="204"/>
        <scheme val="minor"/>
      </rPr>
      <t>2020</t>
    </r>
  </si>
  <si>
    <r>
      <t>Договор 3/21 от 17.06.</t>
    </r>
    <r>
      <rPr>
        <sz val="11"/>
        <color rgb="FFFF0000"/>
        <rFont val="Calibri"/>
        <family val="2"/>
        <charset val="204"/>
        <scheme val="minor"/>
      </rPr>
      <t>2021</t>
    </r>
  </si>
  <si>
    <t>Снятие средств           (ремонт входных групп 1-5 п, с решетками)</t>
  </si>
  <si>
    <t>Снятие средств           (ремонт тамбуров 1-2 п. с заменой дверей и пола на керамогранит)</t>
  </si>
  <si>
    <t xml:space="preserve">Снятие средств            Швы межпанельные 46  п.м.)       </t>
  </si>
  <si>
    <r>
      <t>Договор 7/21 от 09.07.</t>
    </r>
    <r>
      <rPr>
        <sz val="11"/>
        <color rgb="FFFF0000"/>
        <rFont val="Calibri"/>
        <family val="2"/>
        <charset val="204"/>
        <scheme val="minor"/>
      </rPr>
      <t>2021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</si>
  <si>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Снятие средств            Швы межпанельные 20 п.м.)       </t>
  </si>
  <si>
    <t>Снятие средств (15шт. окна 4-ый подъезд)</t>
  </si>
  <si>
    <t>Снятие средств (швы-85п.м, кровля 50м.кв.)</t>
  </si>
  <si>
    <t>Договор 9К26/2020 от 01.06.2020 Максима</t>
  </si>
  <si>
    <t>Договор 29/2020 от 24.06.2021 Орион с 01.08.21</t>
  </si>
  <si>
    <t>Договор 14-21/2021 от 16.09.2021 Эксперт                    с  01.01.2022</t>
  </si>
  <si>
    <t>Договор 01-33-58-19-21 от 20.12.21 МП ГТС с 01.12.21</t>
  </si>
  <si>
    <t>Договор 1А/21 от 01.01.2021 Пом.153 с 01.01.21</t>
  </si>
  <si>
    <t>Договор 18-21 от 01.12.2021 Максима</t>
  </si>
  <si>
    <t>Снятие средств (покраска наружных балконных ограждений и ограждений крыльца)</t>
  </si>
  <si>
    <t>Снятие средств (замена выпуска канализации дома, часть канализации в подвале, с механизмами)</t>
  </si>
  <si>
    <t>Снятие средств           (ремонт тамбуров 3-5 п. с заменой дверей и пола на керамогранит)</t>
  </si>
  <si>
    <t xml:space="preserve">Договор   /22 от </t>
  </si>
  <si>
    <t>всего</t>
  </si>
  <si>
    <t>благоустройствор</t>
  </si>
  <si>
    <t>Снятие средств (замена дверей 2 и 11эт. Кварт. группа)</t>
  </si>
  <si>
    <t>6 с 01.04.22</t>
  </si>
  <si>
    <r>
      <t xml:space="preserve">Снятие средств (швы) остались швы </t>
    </r>
    <r>
      <rPr>
        <sz val="11"/>
        <color rgb="FFFF0000"/>
        <rFont val="Calibri"/>
        <family val="2"/>
        <charset val="204"/>
        <scheme val="minor"/>
      </rPr>
      <t>+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62 п.м. (оплата 52700 руб. была в  2022 г.)</t>
    </r>
  </si>
  <si>
    <r>
      <t>договор №7-дог/22 от 26.03</t>
    </r>
    <r>
      <rPr>
        <sz val="11"/>
        <color rgb="FFFF0000"/>
        <rFont val="Calibri"/>
        <family val="2"/>
        <charset val="204"/>
        <scheme val="minor"/>
      </rPr>
      <t>.2022.</t>
    </r>
  </si>
  <si>
    <r>
      <t>договор №7/22 от 30.05</t>
    </r>
    <r>
      <rPr>
        <sz val="11"/>
        <color rgb="FFFF0000"/>
        <rFont val="Calibri"/>
        <family val="2"/>
        <charset val="204"/>
        <scheme val="minor"/>
      </rPr>
      <t>.2022</t>
    </r>
    <r>
      <rPr>
        <sz val="11"/>
        <color theme="1"/>
        <rFont val="Calibri"/>
        <family val="2"/>
        <charset val="204"/>
        <scheme val="minor"/>
      </rPr>
      <t xml:space="preserve"> швы - 100 м.</t>
    </r>
  </si>
  <si>
    <t>Снятие средств (ремонт полов 2, 11 этажи)</t>
  </si>
  <si>
    <r>
      <t>Калькуляция   .02</t>
    </r>
    <r>
      <rPr>
        <sz val="11"/>
        <color rgb="FFFF0000"/>
        <rFont val="Calibri"/>
        <family val="2"/>
        <charset val="204"/>
        <scheme val="minor"/>
      </rPr>
      <t>.2023.</t>
    </r>
  </si>
  <si>
    <t>Договор 16/22 от 01.01.2023 Орион-Телеком</t>
  </si>
  <si>
    <t>Снятие средств (замена дверей 3, 10 этажи)</t>
  </si>
  <si>
    <r>
      <t>Договор 101-ДОГ-23 от 16.02.</t>
    </r>
    <r>
      <rPr>
        <sz val="11"/>
        <color rgb="FFFF0000"/>
        <rFont val="Calibri"/>
        <family val="2"/>
        <charset val="204"/>
        <scheme val="minor"/>
      </rPr>
      <t>2023</t>
    </r>
  </si>
  <si>
    <t>Снятие средств (швы) -14п.м.</t>
  </si>
  <si>
    <r>
      <t>договор №15/23 от 22.05</t>
    </r>
    <r>
      <rPr>
        <sz val="11"/>
        <color rgb="FFFF0000"/>
        <rFont val="Calibri"/>
        <family val="2"/>
        <charset val="204"/>
        <scheme val="minor"/>
      </rPr>
      <t>.2023</t>
    </r>
    <r>
      <rPr>
        <sz val="11"/>
        <color theme="1"/>
        <rFont val="Calibri"/>
        <family val="2"/>
        <charset val="204"/>
        <scheme val="minor"/>
      </rPr>
      <t xml:space="preserve"> швы - 14п м.</t>
    </r>
  </si>
  <si>
    <t>Снятие средств (ремонт полов 3, 10 этажи)</t>
  </si>
  <si>
    <t>Снятие средств (замена дверей 4, 9 этажи)</t>
  </si>
  <si>
    <r>
      <t>Договор 31/23 06.11.</t>
    </r>
    <r>
      <rPr>
        <sz val="11"/>
        <color rgb="FFFF0000"/>
        <rFont val="Calibri"/>
        <family val="2"/>
        <charset val="204"/>
        <scheme val="minor"/>
      </rPr>
      <t>2023</t>
    </r>
  </si>
  <si>
    <r>
      <t>Калькуляция   .11</t>
    </r>
    <r>
      <rPr>
        <sz val="11"/>
        <color rgb="FFFF0000"/>
        <rFont val="Calibri"/>
        <family val="2"/>
        <charset val="204"/>
        <scheme val="minor"/>
      </rPr>
      <t>.2023.</t>
    </r>
  </si>
  <si>
    <t xml:space="preserve">                                                                                                                              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2023</t>
  </si>
  <si>
    <t>4 с 01.04.2020</t>
  </si>
  <si>
    <t>* С учетом сбора денежных средств по платежным документам за ноябрь 2023 г</t>
  </si>
  <si>
    <t>Средства резервного фонда, аренды 2020-23г. ВЛКСМ - 36 *</t>
  </si>
  <si>
    <t>Снятие средств (ремонт тамбуров)</t>
  </si>
  <si>
    <t>Снятие средств (ремонт кровли козырька, часть к тамбуру)</t>
  </si>
  <si>
    <t>Снятие средств Ремонт кровли 20 м.кв. над кв.69)</t>
  </si>
  <si>
    <t>Снятие средств (ремонт 1-го и 12 этажа, двери -1шт.)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</si>
</sst>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3" fillId="0" borderId="1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 vertical="center" wrapText="1"/>
    </xf>
    <xf numFmtId="0" fontId="0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/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/>
    <xf numFmtId="0" fontId="3" fillId="0" borderId="14" xfId="0" applyFont="1" applyBorder="1" applyAlignment="1">
      <alignment horizontal="center" vertical="center"/>
    </xf>
    <xf numFmtId="0" fontId="1" fillId="0" borderId="7" xfId="0" applyFont="1" applyBorder="1"/>
    <xf numFmtId="0" fontId="1" fillId="0" borderId="17" xfId="0" applyFont="1" applyBorder="1"/>
    <xf numFmtId="0" fontId="1" fillId="0" borderId="13" xfId="0" applyFont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/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/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3" fillId="0" borderId="14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6" xfId="0" applyFont="1" applyFill="1" applyBorder="1" applyAlignment="1">
      <alignment horizontal="center" vertical="center"/>
    </xf>
    <xf numFmtId="0" fontId="0" fillId="2" borderId="0" xfId="0" applyFill="1"/>
    <xf numFmtId="0" fontId="0" fillId="0" borderId="18" xfId="0" applyBorder="1" applyAlignment="1">
      <alignment horizontal="center" vertical="center"/>
    </xf>
    <xf numFmtId="0" fontId="0" fillId="3" borderId="0" xfId="0" applyFill="1"/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2"/>
  <sheetViews>
    <sheetView tabSelected="1" topLeftCell="AO1" workbookViewId="0">
      <selection activeCell="BA20" sqref="BA20"/>
    </sheetView>
  </sheetViews>
  <sheetFormatPr defaultRowHeight="15" x14ac:dyDescent="0.25"/>
  <cols>
    <col min="1" max="1" width="19.28515625" style="78" customWidth="1"/>
    <col min="2" max="2" width="16.140625" style="78" customWidth="1"/>
    <col min="3" max="3" width="15.85546875" style="78" customWidth="1"/>
    <col min="4" max="4" width="14.85546875" style="78" customWidth="1"/>
    <col min="5" max="9" width="9.140625" style="78" customWidth="1"/>
    <col min="10" max="10" width="9.28515625" style="78" customWidth="1"/>
    <col min="11" max="11" width="10.7109375" style="78" customWidth="1"/>
    <col min="12" max="12" width="10.42578125" style="78" customWidth="1"/>
    <col min="13" max="13" width="11.85546875" style="78" customWidth="1"/>
    <col min="14" max="14" width="15.28515625" style="78" customWidth="1"/>
    <col min="15" max="15" width="12" style="78" customWidth="1"/>
    <col min="16" max="26" width="15.140625" style="78" customWidth="1"/>
    <col min="27" max="52" width="15.5703125" style="78" customWidth="1"/>
    <col min="53" max="53" width="20.7109375" style="78" customWidth="1"/>
    <col min="54" max="54" width="9.140625" style="78"/>
    <col min="55" max="55" width="9.85546875" style="78" bestFit="1" customWidth="1"/>
    <col min="56" max="16384" width="9.140625" style="78"/>
  </cols>
  <sheetData>
    <row r="1" spans="1:56" ht="35.25" customHeight="1" thickBot="1" x14ac:dyDescent="0.3">
      <c r="A1" s="137" t="s">
        <v>105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1:56" ht="18.75" x14ac:dyDescent="0.25">
      <c r="A2" s="104" t="s">
        <v>0</v>
      </c>
      <c r="B2" s="106" t="s">
        <v>9</v>
      </c>
      <c r="C2" s="106" t="s">
        <v>12</v>
      </c>
      <c r="D2" s="108">
        <v>2020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112">
        <v>2021</v>
      </c>
      <c r="R2" s="113"/>
      <c r="S2" s="113"/>
      <c r="T2" s="114"/>
      <c r="U2" s="114"/>
      <c r="V2" s="114"/>
      <c r="W2" s="114"/>
      <c r="X2" s="114"/>
      <c r="Y2" s="114"/>
      <c r="Z2" s="114"/>
      <c r="AA2" s="114"/>
      <c r="AB2" s="115"/>
      <c r="AC2" s="109" t="s">
        <v>102</v>
      </c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6"/>
      <c r="BA2" s="110" t="s">
        <v>10</v>
      </c>
    </row>
    <row r="3" spans="1:56" s="83" customFormat="1" ht="78" customHeight="1" thickBot="1" x14ac:dyDescent="0.3">
      <c r="A3" s="105"/>
      <c r="B3" s="107"/>
      <c r="C3" s="107"/>
      <c r="D3" s="73" t="s">
        <v>14</v>
      </c>
      <c r="E3" s="73">
        <v>1</v>
      </c>
      <c r="F3" s="73">
        <v>2</v>
      </c>
      <c r="G3" s="73">
        <v>3</v>
      </c>
      <c r="H3" s="73">
        <v>4</v>
      </c>
      <c r="I3" s="73">
        <v>5</v>
      </c>
      <c r="J3" s="73">
        <v>6</v>
      </c>
      <c r="K3" s="73">
        <v>7</v>
      </c>
      <c r="L3" s="73">
        <v>8</v>
      </c>
      <c r="M3" s="73">
        <v>9</v>
      </c>
      <c r="N3" s="73">
        <v>10</v>
      </c>
      <c r="O3" s="73">
        <v>11</v>
      </c>
      <c r="P3" s="80">
        <v>12</v>
      </c>
      <c r="Q3" s="81">
        <v>1</v>
      </c>
      <c r="R3" s="82">
        <v>2</v>
      </c>
      <c r="S3" s="82">
        <v>3</v>
      </c>
      <c r="T3" s="82">
        <v>4</v>
      </c>
      <c r="U3" s="82">
        <v>5</v>
      </c>
      <c r="V3" s="82">
        <v>6</v>
      </c>
      <c r="W3" s="82">
        <v>7</v>
      </c>
      <c r="X3" s="82">
        <v>8</v>
      </c>
      <c r="Y3" s="82">
        <v>9</v>
      </c>
      <c r="Z3" s="82">
        <v>10</v>
      </c>
      <c r="AA3" s="82">
        <v>11</v>
      </c>
      <c r="AB3" s="82">
        <v>12</v>
      </c>
      <c r="AC3" s="82">
        <v>1</v>
      </c>
      <c r="AD3" s="82">
        <v>2</v>
      </c>
      <c r="AE3" s="82">
        <v>3</v>
      </c>
      <c r="AF3" s="82">
        <v>4</v>
      </c>
      <c r="AG3" s="82">
        <v>5</v>
      </c>
      <c r="AH3" s="82">
        <v>6</v>
      </c>
      <c r="AI3" s="82">
        <v>7</v>
      </c>
      <c r="AJ3" s="82">
        <v>8</v>
      </c>
      <c r="AK3" s="82">
        <v>9</v>
      </c>
      <c r="AL3" s="82">
        <v>10</v>
      </c>
      <c r="AM3" s="82">
        <v>11</v>
      </c>
      <c r="AN3" s="82">
        <v>12</v>
      </c>
      <c r="AO3" s="82">
        <v>1</v>
      </c>
      <c r="AP3" s="82">
        <v>2</v>
      </c>
      <c r="AQ3" s="82">
        <v>3</v>
      </c>
      <c r="AR3" s="82">
        <v>4</v>
      </c>
      <c r="AS3" s="82">
        <v>5</v>
      </c>
      <c r="AT3" s="82">
        <v>6</v>
      </c>
      <c r="AU3" s="82">
        <v>7</v>
      </c>
      <c r="AV3" s="82">
        <v>8</v>
      </c>
      <c r="AW3" s="82">
        <v>9</v>
      </c>
      <c r="AX3" s="82">
        <v>10</v>
      </c>
      <c r="AY3" s="82">
        <v>11</v>
      </c>
      <c r="AZ3" s="82">
        <v>12</v>
      </c>
      <c r="BA3" s="111"/>
    </row>
    <row r="4" spans="1:56" ht="21" customHeight="1" x14ac:dyDescent="0.3">
      <c r="A4" s="84" t="s">
        <v>8</v>
      </c>
      <c r="B4" s="85">
        <v>5311.8</v>
      </c>
      <c r="C4" s="85">
        <v>4</v>
      </c>
      <c r="D4" s="131" t="s">
        <v>103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4">
        <f>SUM(D4:P4)</f>
        <v>0</v>
      </c>
    </row>
    <row r="5" spans="1:56" ht="19.5" thickBot="1" x14ac:dyDescent="0.3">
      <c r="A5" s="86" t="s">
        <v>2</v>
      </c>
      <c r="B5" s="95"/>
      <c r="C5" s="87">
        <v>6</v>
      </c>
      <c r="D5" s="87" t="s">
        <v>87</v>
      </c>
      <c r="E5" s="88"/>
      <c r="F5" s="88"/>
      <c r="G5" s="88"/>
      <c r="H5" s="88">
        <f>B4*C4</f>
        <v>21247.200000000001</v>
      </c>
      <c r="I5" s="88">
        <v>21247.200000000001</v>
      </c>
      <c r="J5" s="88">
        <v>21247.200000000001</v>
      </c>
      <c r="K5" s="88">
        <v>21247.200000000001</v>
      </c>
      <c r="L5" s="88">
        <v>21247.200000000001</v>
      </c>
      <c r="M5" s="88">
        <v>21247.200000000001</v>
      </c>
      <c r="N5" s="88">
        <v>21247.200000000001</v>
      </c>
      <c r="O5" s="88">
        <v>21247.200000000001</v>
      </c>
      <c r="P5" s="88">
        <v>21247.200000000001</v>
      </c>
      <c r="Q5" s="88">
        <v>21247.200000000001</v>
      </c>
      <c r="R5" s="88">
        <v>21247.200000000001</v>
      </c>
      <c r="S5" s="88">
        <v>21247.200000000001</v>
      </c>
      <c r="T5" s="88">
        <v>21247.200000000001</v>
      </c>
      <c r="U5" s="88">
        <v>21247.200000000001</v>
      </c>
      <c r="V5" s="88">
        <v>21247.200000000001</v>
      </c>
      <c r="W5" s="88">
        <v>21247.200000000001</v>
      </c>
      <c r="X5" s="88">
        <v>21247.200000000001</v>
      </c>
      <c r="Y5" s="88">
        <v>21247.200000000001</v>
      </c>
      <c r="Z5" s="88">
        <v>21247.200000000001</v>
      </c>
      <c r="AA5" s="88">
        <v>21247.200000000001</v>
      </c>
      <c r="AB5" s="88">
        <v>21247.200000000001</v>
      </c>
      <c r="AC5" s="88">
        <v>21247.200000000001</v>
      </c>
      <c r="AD5" s="88">
        <v>21247.200000000001</v>
      </c>
      <c r="AE5" s="88">
        <v>21247.200000000001</v>
      </c>
      <c r="AF5" s="88">
        <v>31870.799999999999</v>
      </c>
      <c r="AG5" s="88">
        <v>31870.799999999999</v>
      </c>
      <c r="AH5" s="88">
        <v>31870.799999999999</v>
      </c>
      <c r="AI5" s="88">
        <v>31870.799999999999</v>
      </c>
      <c r="AJ5" s="88">
        <v>31870.799999999999</v>
      </c>
      <c r="AK5" s="88">
        <v>31870.799999999999</v>
      </c>
      <c r="AL5" s="88">
        <v>31870.799999999999</v>
      </c>
      <c r="AM5" s="88">
        <v>31870.799999999999</v>
      </c>
      <c r="AN5" s="88">
        <v>31870.799999999999</v>
      </c>
      <c r="AO5" s="88">
        <v>31870.799999999999</v>
      </c>
      <c r="AP5" s="88">
        <v>31870.799999999999</v>
      </c>
      <c r="AQ5" s="88">
        <v>31870.799999999999</v>
      </c>
      <c r="AR5" s="88">
        <v>31870.799999999999</v>
      </c>
      <c r="AS5" s="88">
        <v>31870.799999999999</v>
      </c>
      <c r="AT5" s="88">
        <v>31870.799999999999</v>
      </c>
      <c r="AU5" s="88">
        <v>31870.799999999999</v>
      </c>
      <c r="AV5" s="88">
        <v>31870.799999999999</v>
      </c>
      <c r="AW5" s="88">
        <v>31870.799999999999</v>
      </c>
      <c r="AX5" s="88">
        <v>31870.799999999999</v>
      </c>
      <c r="AY5" s="88">
        <v>31870.799999999999</v>
      </c>
      <c r="AZ5" s="88"/>
      <c r="BA5" s="99">
        <f t="shared" ref="BA5:BA19" si="0">SUM(D5:AZ5)</f>
        <v>1147348.800000001</v>
      </c>
    </row>
    <row r="6" spans="1:56" ht="60.75" thickBot="1" x14ac:dyDescent="0.3">
      <c r="A6" s="86" t="s">
        <v>3</v>
      </c>
      <c r="B6" s="89" t="s">
        <v>74</v>
      </c>
      <c r="C6" s="87">
        <v>531.17999999999995</v>
      </c>
      <c r="D6" s="88"/>
      <c r="E6" s="88"/>
      <c r="F6" s="88"/>
      <c r="G6" s="88"/>
      <c r="H6" s="88"/>
      <c r="I6" s="88"/>
      <c r="J6" s="88">
        <v>424.94</v>
      </c>
      <c r="K6" s="88">
        <v>424.94</v>
      </c>
      <c r="L6" s="88">
        <v>424.94</v>
      </c>
      <c r="M6" s="88">
        <v>424.94</v>
      </c>
      <c r="N6" s="88">
        <v>424.94</v>
      </c>
      <c r="O6" s="88">
        <v>424.94</v>
      </c>
      <c r="P6" s="88">
        <v>424.94</v>
      </c>
      <c r="Q6" s="88">
        <v>424.94</v>
      </c>
      <c r="R6" s="88">
        <v>424.94</v>
      </c>
      <c r="S6" s="88">
        <v>424.94</v>
      </c>
      <c r="T6" s="88">
        <v>424.94</v>
      </c>
      <c r="U6" s="88">
        <v>424.94</v>
      </c>
      <c r="V6" s="88">
        <v>424.94</v>
      </c>
      <c r="W6" s="88">
        <v>424.94</v>
      </c>
      <c r="X6" s="88">
        <v>424.94</v>
      </c>
      <c r="Y6" s="88">
        <v>424.94</v>
      </c>
      <c r="Z6" s="88">
        <v>424.94</v>
      </c>
      <c r="AA6" s="88">
        <v>424.94</v>
      </c>
      <c r="AB6" s="88">
        <v>424.94</v>
      </c>
      <c r="AC6" s="88">
        <v>424.94</v>
      </c>
      <c r="AD6" s="88">
        <v>424.94</v>
      </c>
      <c r="AE6" s="88">
        <v>424.94</v>
      </c>
      <c r="AF6" s="88">
        <v>424.94</v>
      </c>
      <c r="AG6" s="88">
        <v>424.94</v>
      </c>
      <c r="AH6" s="88">
        <v>424.94</v>
      </c>
      <c r="AI6" s="88">
        <v>424.94</v>
      </c>
      <c r="AJ6" s="88">
        <v>424.94</v>
      </c>
      <c r="AK6" s="88">
        <v>424.94</v>
      </c>
      <c r="AL6" s="88">
        <v>424.94</v>
      </c>
      <c r="AM6" s="88">
        <v>424.94</v>
      </c>
      <c r="AN6" s="88">
        <v>424.94</v>
      </c>
      <c r="AO6" s="88">
        <v>424.94</v>
      </c>
      <c r="AP6" s="88">
        <v>424.94</v>
      </c>
      <c r="AQ6" s="88">
        <v>424.94</v>
      </c>
      <c r="AR6" s="88">
        <v>424.94</v>
      </c>
      <c r="AS6" s="88">
        <v>424.94</v>
      </c>
      <c r="AT6" s="88">
        <v>424.94</v>
      </c>
      <c r="AU6" s="88">
        <v>424.94</v>
      </c>
      <c r="AV6" s="88">
        <v>424.94</v>
      </c>
      <c r="AW6" s="88">
        <v>424.94</v>
      </c>
      <c r="AX6" s="88">
        <v>424.94</v>
      </c>
      <c r="AY6" s="88">
        <v>424.94</v>
      </c>
      <c r="AZ6" s="88"/>
      <c r="BA6" s="103">
        <f t="shared" si="0"/>
        <v>17847.48</v>
      </c>
      <c r="BB6" s="101"/>
      <c r="BC6" s="102"/>
      <c r="BD6" s="101"/>
    </row>
    <row r="7" spans="1:56" ht="45.75" thickBot="1" x14ac:dyDescent="0.3">
      <c r="A7" s="86" t="s">
        <v>4</v>
      </c>
      <c r="B7" s="89" t="s">
        <v>93</v>
      </c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>
        <v>424.94</v>
      </c>
      <c r="AP7" s="90">
        <v>424.94</v>
      </c>
      <c r="AQ7" s="90">
        <v>424.94</v>
      </c>
      <c r="AR7" s="90">
        <v>424.94</v>
      </c>
      <c r="AS7" s="90">
        <v>424.94</v>
      </c>
      <c r="AT7" s="90">
        <v>424.94</v>
      </c>
      <c r="AU7" s="90">
        <v>424.94</v>
      </c>
      <c r="AV7" s="90">
        <v>424.94</v>
      </c>
      <c r="AW7" s="90">
        <v>424.94</v>
      </c>
      <c r="AX7" s="90">
        <v>424.94</v>
      </c>
      <c r="AY7" s="90">
        <v>424.94</v>
      </c>
      <c r="AZ7" s="90"/>
      <c r="BA7" s="103">
        <f t="shared" si="0"/>
        <v>4674.3399999999992</v>
      </c>
      <c r="BB7" s="101"/>
      <c r="BC7" s="102"/>
      <c r="BD7" s="101"/>
    </row>
    <row r="8" spans="1:56" ht="45" x14ac:dyDescent="0.25">
      <c r="A8" s="72" t="s">
        <v>96</v>
      </c>
      <c r="B8" s="73" t="s">
        <v>97</v>
      </c>
      <c r="C8" s="74">
        <v>12600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97"/>
      <c r="AL8" s="76"/>
      <c r="AM8" s="76"/>
      <c r="AN8" s="76"/>
      <c r="AO8" s="76"/>
      <c r="AP8" s="76"/>
      <c r="AQ8" s="76"/>
      <c r="AR8" s="76"/>
      <c r="AS8" s="76"/>
      <c r="AT8" s="76"/>
      <c r="AU8" s="76">
        <v>12600</v>
      </c>
      <c r="AV8" s="76"/>
      <c r="AW8" s="76"/>
      <c r="AX8" s="76"/>
      <c r="AY8" s="76"/>
      <c r="AZ8" s="76"/>
      <c r="BA8" s="77">
        <f t="shared" si="0"/>
        <v>12600</v>
      </c>
    </row>
    <row r="9" spans="1:56" ht="45" x14ac:dyDescent="0.25">
      <c r="A9" s="72" t="s">
        <v>98</v>
      </c>
      <c r="B9" s="73" t="s">
        <v>101</v>
      </c>
      <c r="C9" s="74">
        <v>65338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>
        <v>0</v>
      </c>
      <c r="AT9" s="76"/>
      <c r="AU9" s="76"/>
      <c r="AV9" s="76"/>
      <c r="AW9" s="76"/>
      <c r="AX9" s="76"/>
      <c r="AY9" s="76">
        <v>30000</v>
      </c>
      <c r="AZ9" s="76"/>
      <c r="BA9" s="77">
        <f t="shared" si="0"/>
        <v>30000</v>
      </c>
    </row>
    <row r="10" spans="1:56" ht="45" x14ac:dyDescent="0.25">
      <c r="A10" s="72" t="s">
        <v>99</v>
      </c>
      <c r="B10" s="73" t="s">
        <v>100</v>
      </c>
      <c r="C10" s="74">
        <v>116200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>
        <v>0</v>
      </c>
      <c r="AT10" s="76"/>
      <c r="AU10" s="76"/>
      <c r="AV10" s="76"/>
      <c r="AW10" s="76"/>
      <c r="AX10" s="76"/>
      <c r="AY10" s="76">
        <v>92190</v>
      </c>
      <c r="AZ10" s="76"/>
      <c r="BA10" s="91">
        <f t="shared" si="0"/>
        <v>92190</v>
      </c>
    </row>
    <row r="11" spans="1:56" ht="45" x14ac:dyDescent="0.25">
      <c r="A11" s="72" t="s">
        <v>94</v>
      </c>
      <c r="B11" s="73" t="s">
        <v>95</v>
      </c>
      <c r="C11" s="74">
        <v>109200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>
        <v>109200</v>
      </c>
      <c r="AS11" s="76">
        <v>0</v>
      </c>
      <c r="AT11" s="76"/>
      <c r="AU11" s="76"/>
      <c r="AV11" s="76"/>
      <c r="AW11" s="76"/>
      <c r="AX11" s="76"/>
      <c r="AY11" s="76"/>
      <c r="AZ11" s="76"/>
      <c r="BA11" s="91">
        <f t="shared" si="0"/>
        <v>109200</v>
      </c>
    </row>
    <row r="12" spans="1:56" ht="45" x14ac:dyDescent="0.25">
      <c r="A12" s="72" t="s">
        <v>91</v>
      </c>
      <c r="B12" s="73" t="s">
        <v>92</v>
      </c>
      <c r="C12" s="74">
        <v>126668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>
        <v>62288</v>
      </c>
      <c r="AQ12" s="76">
        <v>50000</v>
      </c>
      <c r="AR12" s="76">
        <v>14380</v>
      </c>
      <c r="AS12" s="76">
        <v>0</v>
      </c>
      <c r="AT12" s="76"/>
      <c r="AU12" s="76"/>
      <c r="AV12" s="76"/>
      <c r="AW12" s="76"/>
      <c r="AX12" s="76"/>
      <c r="AY12" s="76"/>
      <c r="AZ12" s="76"/>
      <c r="BA12" s="77">
        <f t="shared" si="0"/>
        <v>126668</v>
      </c>
    </row>
    <row r="13" spans="1:56" ht="45" x14ac:dyDescent="0.25">
      <c r="A13" s="72" t="s">
        <v>86</v>
      </c>
      <c r="B13" s="73" t="s">
        <v>89</v>
      </c>
      <c r="C13" s="74">
        <v>109200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>
        <v>109200</v>
      </c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7">
        <f t="shared" si="0"/>
        <v>109200</v>
      </c>
    </row>
    <row r="14" spans="1:56" ht="75" x14ac:dyDescent="0.25">
      <c r="A14" s="72" t="s">
        <v>88</v>
      </c>
      <c r="B14" s="73" t="s">
        <v>90</v>
      </c>
      <c r="C14" s="74">
        <v>85000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>
        <v>85000</v>
      </c>
      <c r="AJ14" s="76"/>
      <c r="AK14" s="97">
        <v>52700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7">
        <f t="shared" si="0"/>
        <v>137700</v>
      </c>
    </row>
    <row r="15" spans="1:56" ht="45" x14ac:dyDescent="0.25">
      <c r="A15" s="72" t="s">
        <v>43</v>
      </c>
      <c r="B15" s="73" t="s">
        <v>42</v>
      </c>
      <c r="C15" s="74">
        <v>28275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76"/>
      <c r="U15" s="76"/>
      <c r="V15" s="76"/>
      <c r="W15" s="76"/>
      <c r="X15" s="76"/>
      <c r="Y15" s="76"/>
      <c r="Z15" s="76">
        <v>28275</v>
      </c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7">
        <f t="shared" si="0"/>
        <v>28275</v>
      </c>
    </row>
    <row r="16" spans="1:56" ht="45" x14ac:dyDescent="0.25">
      <c r="A16" s="72" t="s">
        <v>109</v>
      </c>
      <c r="B16" s="73" t="s">
        <v>33</v>
      </c>
      <c r="C16" s="79">
        <v>147090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90"/>
      <c r="R16" s="90"/>
      <c r="S16" s="90"/>
      <c r="T16" s="90"/>
      <c r="U16" s="90"/>
      <c r="V16" s="90">
        <v>44127</v>
      </c>
      <c r="W16" s="90"/>
      <c r="X16" s="90"/>
      <c r="Y16" s="90"/>
      <c r="Z16" s="90"/>
      <c r="AA16" s="90"/>
      <c r="AB16" s="90">
        <v>102963</v>
      </c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77">
        <f t="shared" si="0"/>
        <v>147090</v>
      </c>
    </row>
    <row r="17" spans="1:55" ht="60" x14ac:dyDescent="0.25">
      <c r="A17" s="72" t="s">
        <v>107</v>
      </c>
      <c r="B17" s="73" t="s">
        <v>23</v>
      </c>
      <c r="C17" s="79">
        <v>37200</v>
      </c>
      <c r="D17" s="75"/>
      <c r="E17" s="75"/>
      <c r="F17" s="75"/>
      <c r="G17" s="75"/>
      <c r="H17" s="75"/>
      <c r="I17" s="75"/>
      <c r="J17" s="75"/>
      <c r="K17" s="75"/>
      <c r="L17" s="75">
        <v>37200</v>
      </c>
      <c r="M17" s="75"/>
      <c r="N17" s="75"/>
      <c r="O17" s="75"/>
      <c r="P17" s="75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7">
        <f t="shared" si="0"/>
        <v>37200</v>
      </c>
    </row>
    <row r="18" spans="1:55" ht="45" x14ac:dyDescent="0.25">
      <c r="A18" s="72" t="s">
        <v>108</v>
      </c>
      <c r="B18" s="73" t="s">
        <v>26</v>
      </c>
      <c r="C18" s="79">
        <v>16000</v>
      </c>
      <c r="D18" s="75"/>
      <c r="E18" s="75"/>
      <c r="F18" s="75"/>
      <c r="G18" s="75"/>
      <c r="H18" s="75"/>
      <c r="I18" s="75"/>
      <c r="J18" s="75"/>
      <c r="K18" s="75"/>
      <c r="L18" s="75">
        <v>16000</v>
      </c>
      <c r="M18" s="75"/>
      <c r="N18" s="75"/>
      <c r="O18" s="75"/>
      <c r="P18" s="75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7">
        <f t="shared" si="0"/>
        <v>16000</v>
      </c>
    </row>
    <row r="19" spans="1:55" ht="30.75" thickBot="1" x14ac:dyDescent="0.3">
      <c r="A19" s="72" t="s">
        <v>106</v>
      </c>
      <c r="B19" s="73" t="s">
        <v>20</v>
      </c>
      <c r="C19" s="98">
        <v>203967.31</v>
      </c>
      <c r="D19" s="75"/>
      <c r="E19" s="75"/>
      <c r="F19" s="75"/>
      <c r="G19" s="75"/>
      <c r="H19" s="75"/>
      <c r="I19" s="75"/>
      <c r="J19" s="75">
        <v>81586.92</v>
      </c>
      <c r="K19" s="75"/>
      <c r="L19" s="75"/>
      <c r="M19" s="75"/>
      <c r="N19" s="75">
        <v>122380.39</v>
      </c>
      <c r="O19" s="75"/>
      <c r="P19" s="75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99">
        <f t="shared" si="0"/>
        <v>203967.31</v>
      </c>
    </row>
    <row r="20" spans="1:55" ht="21" customHeight="1" thickBot="1" x14ac:dyDescent="0.3">
      <c r="A20" s="132" t="s">
        <v>13</v>
      </c>
      <c r="B20" s="100"/>
      <c r="C20" s="133">
        <f>C19+C18+C17+C16+C15+C14+C8+C9+C10+C11+C12+C13</f>
        <v>1056738.31</v>
      </c>
      <c r="D20" s="134"/>
      <c r="E20" s="135">
        <f t="shared" ref="E20:I20" si="1">E5+E6+E7+E16+E19</f>
        <v>0</v>
      </c>
      <c r="F20" s="135">
        <f t="shared" si="1"/>
        <v>0</v>
      </c>
      <c r="G20" s="135">
        <f t="shared" si="1"/>
        <v>0</v>
      </c>
      <c r="H20" s="135">
        <f t="shared" si="1"/>
        <v>21247.200000000001</v>
      </c>
      <c r="I20" s="135">
        <f t="shared" si="1"/>
        <v>21247.200000000001</v>
      </c>
      <c r="J20" s="135">
        <f>J5+J6+J7+J16-J19-J17</f>
        <v>-59914.78</v>
      </c>
      <c r="K20" s="135">
        <f t="shared" ref="K20" si="2">K5+K6+K7+K16-K19-K17</f>
        <v>21672.14</v>
      </c>
      <c r="L20" s="135">
        <f>L5+L6+L7+L16-L19-L17-L18</f>
        <v>-31527.86</v>
      </c>
      <c r="M20" s="135">
        <f t="shared" ref="M20:P20" si="3">M5+M6+M7+M16-M19-M17</f>
        <v>21672.14</v>
      </c>
      <c r="N20" s="135">
        <f t="shared" si="3"/>
        <v>-100708.25</v>
      </c>
      <c r="O20" s="135">
        <f t="shared" si="3"/>
        <v>21672.14</v>
      </c>
      <c r="P20" s="135">
        <f t="shared" si="3"/>
        <v>21672.14</v>
      </c>
      <c r="Q20" s="135">
        <f t="shared" ref="Q20:U20" si="4">Q5+Q6+Q7+Q16-Q19-Q17-Q18</f>
        <v>21672.14</v>
      </c>
      <c r="R20" s="135">
        <f t="shared" si="4"/>
        <v>21672.14</v>
      </c>
      <c r="S20" s="135">
        <f t="shared" si="4"/>
        <v>21672.14</v>
      </c>
      <c r="T20" s="135">
        <f t="shared" si="4"/>
        <v>21672.14</v>
      </c>
      <c r="U20" s="135">
        <f t="shared" si="4"/>
        <v>21672.14</v>
      </c>
      <c r="V20" s="135">
        <f>V5+V6-V7-V16-V19-V17-V18</f>
        <v>-22454.86</v>
      </c>
      <c r="W20" s="135">
        <f>W5+W6-W7-W16-W19-W17-W18</f>
        <v>21672.14</v>
      </c>
      <c r="X20" s="135">
        <f>X5+X6-X7-X16-X19-X17-X18</f>
        <v>21672.14</v>
      </c>
      <c r="Y20" s="135">
        <f>Y5+Y6-Y7-Y16-Y19-Y17-Y18-Y15</f>
        <v>21672.14</v>
      </c>
      <c r="Z20" s="135">
        <f>Z5+Z6-Z7-Z16-Z19-Z17-Z18-Z15</f>
        <v>-6602.8600000000006</v>
      </c>
      <c r="AA20" s="135">
        <f>AA5+AA6-AA7-AA16-AA19-AA17-AA18-AA15</f>
        <v>21672.14</v>
      </c>
      <c r="AB20" s="135">
        <f>AB5+AB6-AB7-AB16-AB19-AB17-AB18-AB15</f>
        <v>-81290.86</v>
      </c>
      <c r="AC20" s="135">
        <f t="shared" ref="AC20" si="5">AC5+AC6-AC7-AC16-AC19-AC17-AC18-AC15</f>
        <v>21672.14</v>
      </c>
      <c r="AD20" s="135">
        <f t="shared" ref="AD20:AE20" si="6">AD5+AD6-AD7-AD16-AD19-AD17-AD18-AD15</f>
        <v>21672.14</v>
      </c>
      <c r="AE20" s="135">
        <f t="shared" si="6"/>
        <v>21672.14</v>
      </c>
      <c r="AF20" s="135">
        <f>AF5+AF6-AF7-AF16-AF19-AF17-AF18-AF15-AF13</f>
        <v>-76904.260000000009</v>
      </c>
      <c r="AG20" s="135">
        <f>AG5+AG6-AG7-AG16-AG19-AG17-AG18-AG15-AG13</f>
        <v>32295.739999999998</v>
      </c>
      <c r="AH20" s="135">
        <f>AH5+AH6-AH7-AH16-AH19-AH17-AH18-AH15-AH13</f>
        <v>32295.739999999998</v>
      </c>
      <c r="AI20" s="135">
        <f>AI5+AI6-AI7-AI16-AI19-AI17-AI18-AI15-AI13-AI14</f>
        <v>-52704.26</v>
      </c>
      <c r="AJ20" s="135">
        <f>AJ5+AJ6-AJ7-AJ16-AJ19-AJ17-AJ18-AJ15-AJ13-AJ14</f>
        <v>32295.739999999998</v>
      </c>
      <c r="AK20" s="135">
        <f>AK5+AK6-AK7-AK16-AK19-AK17-AK18-AK15-AK13-AK14</f>
        <v>-20404.260000000002</v>
      </c>
      <c r="AL20" s="135">
        <f>AL5+AL6-AL7-AL16-AL19-AL17-AL18-AL15-AL13-AL14</f>
        <v>32295.739999999998</v>
      </c>
      <c r="AM20" s="135">
        <f>AM5+AM6-AM7-AM16-AM19-AM17-AM18-AM15-AM13-AM14</f>
        <v>32295.739999999998</v>
      </c>
      <c r="AN20" s="135">
        <f>AN5+AN6-AN7-AN16-AN19-AN17-AN18-AN15-AN13-AN14+AN7</f>
        <v>32295.739999999998</v>
      </c>
      <c r="AO20" s="135">
        <f>AO5+AO6-AO7-AO16-AO19-AO17-AO18-AO15-AO13-AO14+AO7</f>
        <v>32295.739999999998</v>
      </c>
      <c r="AP20" s="135">
        <f t="shared" ref="AP20:AS20" si="7">AP5+AP6-AP7-AP16-AP19-AP17-AP18-AP15-AP13-AP14+AP7-AP12-AP11</f>
        <v>-29992.260000000002</v>
      </c>
      <c r="AQ20" s="135">
        <f t="shared" si="7"/>
        <v>-17704.260000000002</v>
      </c>
      <c r="AR20" s="135">
        <f t="shared" si="7"/>
        <v>-91284.260000000009</v>
      </c>
      <c r="AS20" s="135">
        <f t="shared" si="7"/>
        <v>32295.739999999998</v>
      </c>
      <c r="AT20" s="135">
        <f t="shared" ref="AT20" si="8">AT5+AT6-AT7-AT16-AT19-AT17-AT18-AT15-AT13-AT14+AT7-AT12-AT11</f>
        <v>32295.739999999998</v>
      </c>
      <c r="AU20" s="135">
        <f>AU5+AU6-AU7-AU16-AU19-AU17-AU18-AU15-AU13-AU14+AU7-AU12-AU11-AU8</f>
        <v>19695.739999999998</v>
      </c>
      <c r="AV20" s="135">
        <f>AV5+AV6-AV7-AV16-AV19-AV17-AV18-AV15-AV13-AV14+AV7-AV12-AV11-AV8</f>
        <v>32295.739999999998</v>
      </c>
      <c r="AW20" s="135">
        <f>AW5+AW6-AW7-AW16-AW19-AW17-AW18-AW15-AW13-AW14+AW7-AW12-AW11-AW8</f>
        <v>32295.739999999998</v>
      </c>
      <c r="AX20" s="135">
        <f>AX5+AX6-AX7-AX16-AX19-AX17-AX18-AX15-AX13-AX14+AX7-AX12-AX11-AX8</f>
        <v>32295.739999999998</v>
      </c>
      <c r="AY20" s="135">
        <f>AY5+AY6-AY7-AY16-AY19-AY17-AY18-AY15-AY13-AY14+AY7-AY12-AY11-AY8-AY9-AY10</f>
        <v>-89894.260000000009</v>
      </c>
      <c r="AZ20" s="135">
        <f>AZ5+AZ6-AZ7-AZ16-AZ19-AZ17-AZ18-AZ15-AZ13-AZ14+AZ7-AZ12-AZ11-AZ8-AZ9-AZ10</f>
        <v>0</v>
      </c>
      <c r="BA20" s="136">
        <f>BA5+BA6-BA16-BA19-BA17-BA18-BA15-BA13-BA14+BA7-BA12-BA11-BA8-BA9-BA10</f>
        <v>119780.31000000093</v>
      </c>
      <c r="BC20" s="96"/>
    </row>
    <row r="22" spans="1:55" x14ac:dyDescent="0.25">
      <c r="A22" s="101" t="s">
        <v>104</v>
      </c>
    </row>
  </sheetData>
  <mergeCells count="8">
    <mergeCell ref="A1:BA1"/>
    <mergeCell ref="A2:A3"/>
    <mergeCell ref="B2:B3"/>
    <mergeCell ref="C2:C3"/>
    <mergeCell ref="D2:P2"/>
    <mergeCell ref="BA2:BA3"/>
    <mergeCell ref="Q2:AB2"/>
    <mergeCell ref="AC2:AZ2"/>
  </mergeCells>
  <pageMargins left="0" right="0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87"/>
  <sheetViews>
    <sheetView topLeftCell="C34" workbookViewId="0">
      <selection activeCell="AJ38" sqref="AJ38"/>
    </sheetView>
  </sheetViews>
  <sheetFormatPr defaultRowHeight="15" x14ac:dyDescent="0.25"/>
  <cols>
    <col min="1" max="1" width="19.28515625" customWidth="1"/>
    <col min="2" max="2" width="16.140625" customWidth="1"/>
    <col min="3" max="3" width="15.85546875" customWidth="1"/>
    <col min="4" max="9" width="0" hidden="1" customWidth="1"/>
    <col min="10" max="10" width="9.28515625" hidden="1" customWidth="1"/>
    <col min="11" max="11" width="10.7109375" hidden="1" customWidth="1"/>
    <col min="12" max="12" width="10.42578125" hidden="1" customWidth="1"/>
    <col min="13" max="13" width="11.85546875" hidden="1" customWidth="1"/>
    <col min="14" max="14" width="15.28515625" hidden="1" customWidth="1"/>
    <col min="15" max="15" width="12" hidden="1" customWidth="1"/>
    <col min="16" max="16" width="15.140625" hidden="1" customWidth="1"/>
    <col min="17" max="26" width="15.140625" customWidth="1"/>
    <col min="27" max="28" width="15.5703125" customWidth="1"/>
    <col min="29" max="31" width="15.5703125" hidden="1" customWidth="1"/>
    <col min="32" max="32" width="20.7109375" customWidth="1"/>
    <col min="34" max="34" width="9.85546875" bestFit="1" customWidth="1"/>
  </cols>
  <sheetData>
    <row r="1" spans="1:36" ht="15.75" thickBot="1" x14ac:dyDescent="0.3">
      <c r="A1" s="117" t="s">
        <v>15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6" ht="18.75" x14ac:dyDescent="0.25">
      <c r="A2" s="118" t="s">
        <v>0</v>
      </c>
      <c r="B2" s="120" t="s">
        <v>9</v>
      </c>
      <c r="C2" s="120" t="s">
        <v>12</v>
      </c>
      <c r="D2" s="122">
        <v>2020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4">
        <v>2021</v>
      </c>
      <c r="R2" s="125"/>
      <c r="S2" s="125"/>
      <c r="T2" s="126"/>
      <c r="U2" s="126"/>
      <c r="V2" s="126"/>
      <c r="W2" s="126"/>
      <c r="X2" s="126"/>
      <c r="Y2" s="126"/>
      <c r="Z2" s="126"/>
      <c r="AA2" s="126"/>
      <c r="AB2" s="127"/>
      <c r="AC2" s="123">
        <v>2022</v>
      </c>
      <c r="AD2" s="125"/>
      <c r="AE2" s="128"/>
      <c r="AF2" s="129" t="s">
        <v>10</v>
      </c>
    </row>
    <row r="3" spans="1:36" s="9" customFormat="1" ht="30.75" thickBot="1" x14ac:dyDescent="0.3">
      <c r="A3" s="119"/>
      <c r="B3" s="121"/>
      <c r="C3" s="121"/>
      <c r="D3" s="12" t="s">
        <v>14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44">
        <v>12</v>
      </c>
      <c r="Q3" s="59">
        <v>1</v>
      </c>
      <c r="R3" s="60">
        <v>2</v>
      </c>
      <c r="S3" s="60">
        <v>3</v>
      </c>
      <c r="T3" s="60">
        <v>4</v>
      </c>
      <c r="U3" s="60">
        <v>5</v>
      </c>
      <c r="V3" s="60">
        <v>6</v>
      </c>
      <c r="W3" s="60">
        <v>7</v>
      </c>
      <c r="X3" s="60">
        <v>8</v>
      </c>
      <c r="Y3" s="60">
        <v>9</v>
      </c>
      <c r="Z3" s="60">
        <v>10</v>
      </c>
      <c r="AA3" s="60">
        <v>11</v>
      </c>
      <c r="AB3" s="60">
        <v>12</v>
      </c>
      <c r="AC3" s="60">
        <v>1</v>
      </c>
      <c r="AD3" s="60">
        <v>2</v>
      </c>
      <c r="AE3" s="60">
        <v>3</v>
      </c>
      <c r="AF3" s="130"/>
    </row>
    <row r="4" spans="1:36" ht="18.75" x14ac:dyDescent="0.3">
      <c r="A4" s="2" t="s">
        <v>1</v>
      </c>
      <c r="B4" s="14">
        <v>11383.5</v>
      </c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"/>
    </row>
    <row r="5" spans="1:36" ht="18.75" x14ac:dyDescent="0.25">
      <c r="A5" s="5" t="s">
        <v>2</v>
      </c>
      <c r="B5" s="16"/>
      <c r="C5" s="15">
        <v>2</v>
      </c>
      <c r="D5" s="22">
        <f>B4*C5</f>
        <v>22767</v>
      </c>
      <c r="E5" s="23">
        <f>C5*B4</f>
        <v>22767</v>
      </c>
      <c r="F5" s="23">
        <f>B4*C5</f>
        <v>22767</v>
      </c>
      <c r="G5" s="23">
        <f>B4*C5</f>
        <v>22767</v>
      </c>
      <c r="H5" s="23">
        <f>B4*C5</f>
        <v>22767</v>
      </c>
      <c r="I5" s="23">
        <f>B4*C5</f>
        <v>22767</v>
      </c>
      <c r="J5" s="23">
        <f>C5*B4</f>
        <v>22767</v>
      </c>
      <c r="K5" s="23">
        <f>C5*B4</f>
        <v>22767</v>
      </c>
      <c r="L5" s="23">
        <f>B4*C5</f>
        <v>22767</v>
      </c>
      <c r="M5" s="23">
        <v>22767</v>
      </c>
      <c r="N5" s="23">
        <v>22767</v>
      </c>
      <c r="O5" s="23">
        <v>22767</v>
      </c>
      <c r="P5" s="23">
        <v>22767</v>
      </c>
      <c r="Q5" s="23">
        <v>22767</v>
      </c>
      <c r="R5" s="23">
        <v>22767</v>
      </c>
      <c r="S5" s="23">
        <v>22767</v>
      </c>
      <c r="T5" s="23">
        <v>22767</v>
      </c>
      <c r="U5" s="23">
        <v>22767</v>
      </c>
      <c r="V5" s="23">
        <v>22767</v>
      </c>
      <c r="W5" s="23">
        <v>22767</v>
      </c>
      <c r="X5" s="23">
        <v>22767</v>
      </c>
      <c r="Y5" s="23">
        <v>22767</v>
      </c>
      <c r="Z5" s="23">
        <v>22767</v>
      </c>
      <c r="AA5" s="23">
        <v>22767</v>
      </c>
      <c r="AB5" s="23">
        <v>22767</v>
      </c>
      <c r="AC5" s="23">
        <v>22767</v>
      </c>
      <c r="AD5" s="23">
        <v>22767</v>
      </c>
      <c r="AE5" s="23"/>
      <c r="AF5" s="24">
        <f>SUM(D5:AE5)</f>
        <v>614709</v>
      </c>
    </row>
    <row r="6" spans="1:36" ht="18.75" x14ac:dyDescent="0.25">
      <c r="A6" s="5" t="s">
        <v>3</v>
      </c>
      <c r="B6" s="1"/>
      <c r="C6" s="18" t="s">
        <v>28</v>
      </c>
      <c r="D6" s="23">
        <v>4000</v>
      </c>
      <c r="E6" s="23">
        <v>4000</v>
      </c>
      <c r="F6" s="23">
        <v>4000</v>
      </c>
      <c r="G6" s="23">
        <v>4000</v>
      </c>
      <c r="H6" s="23">
        <v>4000</v>
      </c>
      <c r="I6" s="23">
        <v>4000</v>
      </c>
      <c r="J6" s="23">
        <v>5600</v>
      </c>
      <c r="K6" s="23">
        <v>5600</v>
      </c>
      <c r="L6" s="23">
        <v>5600</v>
      </c>
      <c r="M6" s="23">
        <v>5600</v>
      </c>
      <c r="N6" s="23">
        <v>5600</v>
      </c>
      <c r="O6" s="23">
        <v>5600</v>
      </c>
      <c r="P6" s="23">
        <v>5600</v>
      </c>
      <c r="Q6" s="23">
        <v>5600</v>
      </c>
      <c r="R6" s="23">
        <v>5600</v>
      </c>
      <c r="S6" s="23">
        <v>5600</v>
      </c>
      <c r="T6" s="23">
        <v>5600</v>
      </c>
      <c r="U6" s="23">
        <v>4000</v>
      </c>
      <c r="V6" s="23">
        <v>4000</v>
      </c>
      <c r="W6" s="23">
        <v>4000</v>
      </c>
      <c r="X6" s="23">
        <v>4000</v>
      </c>
      <c r="Y6" s="23">
        <v>4000</v>
      </c>
      <c r="Z6" s="23">
        <v>4000</v>
      </c>
      <c r="AA6" s="23">
        <v>4000</v>
      </c>
      <c r="AB6" s="23">
        <v>4000</v>
      </c>
      <c r="AC6" s="23">
        <v>4000</v>
      </c>
      <c r="AD6" s="23">
        <v>4000</v>
      </c>
      <c r="AE6" s="23"/>
      <c r="AF6" s="24">
        <f t="shared" ref="AF6:AF14" si="0">SUM(D6:AE6)</f>
        <v>125600</v>
      </c>
    </row>
    <row r="7" spans="1:36" ht="60" x14ac:dyDescent="0.25">
      <c r="A7" s="5" t="s">
        <v>4</v>
      </c>
      <c r="B7" s="40" t="s">
        <v>74</v>
      </c>
      <c r="C7" s="15"/>
      <c r="D7" s="23"/>
      <c r="E7" s="23"/>
      <c r="F7" s="23"/>
      <c r="G7" s="23"/>
      <c r="H7" s="23"/>
      <c r="I7" s="23"/>
      <c r="J7" s="23"/>
      <c r="K7" s="23">
        <v>910.68</v>
      </c>
      <c r="L7" s="23">
        <v>910.68</v>
      </c>
      <c r="M7" s="23">
        <v>910.68</v>
      </c>
      <c r="N7" s="23">
        <v>910.68</v>
      </c>
      <c r="O7" s="23">
        <v>910.68</v>
      </c>
      <c r="P7" s="23">
        <v>910.68</v>
      </c>
      <c r="Q7" s="23">
        <v>910.68</v>
      </c>
      <c r="R7" s="23">
        <v>910.68</v>
      </c>
      <c r="S7" s="23">
        <v>910.68</v>
      </c>
      <c r="T7" s="23">
        <v>910.68</v>
      </c>
      <c r="U7" s="23">
        <v>910.68</v>
      </c>
      <c r="V7" s="23">
        <v>910.68</v>
      </c>
      <c r="W7" s="23">
        <v>910.68</v>
      </c>
      <c r="X7" s="23">
        <v>910.68</v>
      </c>
      <c r="Y7" s="23">
        <v>910.68</v>
      </c>
      <c r="Z7" s="23">
        <v>910.68</v>
      </c>
      <c r="AA7" s="23">
        <v>910.68</v>
      </c>
      <c r="AB7" s="23">
        <v>910.68</v>
      </c>
      <c r="AC7" s="23">
        <v>910.68</v>
      </c>
      <c r="AD7" s="23">
        <v>910.68</v>
      </c>
      <c r="AE7" s="23"/>
      <c r="AF7" s="24">
        <f t="shared" si="0"/>
        <v>18213.600000000002</v>
      </c>
    </row>
    <row r="8" spans="1:36" ht="45" x14ac:dyDescent="0.25">
      <c r="A8" s="5" t="s">
        <v>5</v>
      </c>
      <c r="B8" s="40" t="s">
        <v>75</v>
      </c>
      <c r="C8" s="1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46"/>
      <c r="R8" s="46"/>
      <c r="S8" s="46"/>
      <c r="T8" s="46"/>
      <c r="U8" s="46"/>
      <c r="V8" s="46"/>
      <c r="W8" s="46"/>
      <c r="X8" s="46">
        <v>910.68</v>
      </c>
      <c r="Y8" s="46">
        <v>910.68</v>
      </c>
      <c r="Z8" s="46">
        <v>910.68</v>
      </c>
      <c r="AA8" s="46">
        <v>910.68</v>
      </c>
      <c r="AB8" s="46">
        <v>910.68</v>
      </c>
      <c r="AC8" s="46">
        <v>910.68</v>
      </c>
      <c r="AD8" s="46">
        <v>910.68</v>
      </c>
      <c r="AE8" s="46"/>
      <c r="AF8" s="24">
        <f t="shared" si="0"/>
        <v>6374.76</v>
      </c>
    </row>
    <row r="9" spans="1:36" ht="75" x14ac:dyDescent="0.25">
      <c r="A9" s="5" t="s">
        <v>57</v>
      </c>
      <c r="B9" s="40" t="s">
        <v>76</v>
      </c>
      <c r="C9" s="1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>
        <v>12000</v>
      </c>
      <c r="AD9" s="46">
        <v>12000</v>
      </c>
      <c r="AE9" s="46"/>
      <c r="AF9" s="24">
        <f t="shared" si="0"/>
        <v>24000</v>
      </c>
    </row>
    <row r="10" spans="1:36" ht="75" x14ac:dyDescent="0.25">
      <c r="A10" s="52" t="s">
        <v>82</v>
      </c>
      <c r="B10" s="37" t="s">
        <v>83</v>
      </c>
      <c r="C10" s="57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>
        <v>130000</v>
      </c>
      <c r="AF10" s="24">
        <f>SUM(D10:AE10)</f>
        <v>130000</v>
      </c>
    </row>
    <row r="11" spans="1:36" ht="60" x14ac:dyDescent="0.25">
      <c r="A11" s="61" t="s">
        <v>69</v>
      </c>
      <c r="B11" s="37" t="s">
        <v>70</v>
      </c>
      <c r="C11" s="57">
        <v>29900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7"/>
      <c r="R11" s="47"/>
      <c r="S11" s="47"/>
      <c r="T11" s="47"/>
      <c r="U11" s="47"/>
      <c r="V11" s="47"/>
      <c r="W11" s="47"/>
      <c r="X11" s="47"/>
      <c r="Y11" s="47"/>
      <c r="Z11" s="47">
        <v>29900</v>
      </c>
      <c r="AA11" s="47"/>
      <c r="AB11" s="47"/>
      <c r="AC11" s="47"/>
      <c r="AD11" s="47"/>
      <c r="AE11" s="47"/>
      <c r="AF11" s="24">
        <f t="shared" si="0"/>
        <v>29900</v>
      </c>
    </row>
    <row r="12" spans="1:36" ht="75" x14ac:dyDescent="0.25">
      <c r="A12" s="52" t="s">
        <v>68</v>
      </c>
      <c r="B12" s="37" t="s">
        <v>66</v>
      </c>
      <c r="C12" s="57">
        <v>220226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7"/>
      <c r="R12" s="47"/>
      <c r="S12" s="47"/>
      <c r="T12" s="47"/>
      <c r="U12" s="47"/>
      <c r="V12" s="47">
        <v>66067.8</v>
      </c>
      <c r="W12" s="47"/>
      <c r="X12" s="47"/>
      <c r="Y12" s="47"/>
      <c r="Z12" s="47">
        <v>54158.2</v>
      </c>
      <c r="AA12" s="47">
        <v>100000</v>
      </c>
      <c r="AB12" s="47"/>
      <c r="AC12" s="47"/>
      <c r="AD12" s="47"/>
      <c r="AE12" s="47"/>
      <c r="AF12" s="24">
        <f t="shared" si="0"/>
        <v>220226</v>
      </c>
      <c r="AJ12" s="71">
        <f>V12+Z12+AA12+Z11</f>
        <v>250126</v>
      </c>
    </row>
    <row r="13" spans="1:36" ht="60" x14ac:dyDescent="0.25">
      <c r="A13" s="52" t="s">
        <v>71</v>
      </c>
      <c r="B13" s="37" t="s">
        <v>65</v>
      </c>
      <c r="C13" s="57">
        <v>15785.21</v>
      </c>
      <c r="D13" s="30"/>
      <c r="E13" s="30"/>
      <c r="F13" s="30"/>
      <c r="G13" s="30"/>
      <c r="H13" s="30"/>
      <c r="I13" s="30"/>
      <c r="J13" s="30"/>
      <c r="K13" s="30"/>
      <c r="L13" s="30">
        <v>4800</v>
      </c>
      <c r="M13" s="30">
        <v>10985.21</v>
      </c>
      <c r="N13" s="30"/>
      <c r="O13" s="30"/>
      <c r="P13" s="30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24">
        <f t="shared" si="0"/>
        <v>15785.21</v>
      </c>
    </row>
    <row r="14" spans="1:36" ht="60" x14ac:dyDescent="0.25">
      <c r="A14" s="52" t="s">
        <v>67</v>
      </c>
      <c r="B14" s="37" t="s">
        <v>64</v>
      </c>
      <c r="C14" s="57">
        <v>211021</v>
      </c>
      <c r="D14" s="30"/>
      <c r="E14" s="30"/>
      <c r="F14" s="30"/>
      <c r="G14" s="30"/>
      <c r="H14" s="30"/>
      <c r="I14" s="30"/>
      <c r="J14" s="30">
        <v>60793.8</v>
      </c>
      <c r="K14" s="30">
        <v>101852</v>
      </c>
      <c r="L14" s="30">
        <v>48375</v>
      </c>
      <c r="M14" s="30"/>
      <c r="N14" s="30"/>
      <c r="O14" s="30"/>
      <c r="P14" s="30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4">
        <f t="shared" si="0"/>
        <v>211020.79999999999</v>
      </c>
    </row>
    <row r="15" spans="1:36" ht="19.5" thickBot="1" x14ac:dyDescent="0.3">
      <c r="A15" s="34" t="s">
        <v>13</v>
      </c>
      <c r="B15" s="6"/>
      <c r="C15" s="19">
        <f>C13+C14+C12+C11</f>
        <v>476932.20999999996</v>
      </c>
      <c r="D15" s="25">
        <f t="shared" ref="D15:I15" si="1">D5+D6+D7+D9-D14</f>
        <v>26767</v>
      </c>
      <c r="E15" s="25">
        <f t="shared" si="1"/>
        <v>26767</v>
      </c>
      <c r="F15" s="25">
        <f t="shared" si="1"/>
        <v>26767</v>
      </c>
      <c r="G15" s="25">
        <f t="shared" si="1"/>
        <v>26767</v>
      </c>
      <c r="H15" s="25">
        <f t="shared" si="1"/>
        <v>26767</v>
      </c>
      <c r="I15" s="25">
        <f t="shared" si="1"/>
        <v>26767</v>
      </c>
      <c r="J15" s="25">
        <f>J5+J6+J7+J9-J14-J12-J13</f>
        <v>-32426.800000000003</v>
      </c>
      <c r="K15" s="25">
        <f>K5+K6+K7+K9-K14-K12-K13</f>
        <v>-72574.320000000007</v>
      </c>
      <c r="L15" s="25">
        <f t="shared" ref="L15:X15" si="2">L5+L6+L7+L9-L14-L12-L13</f>
        <v>-23897.32</v>
      </c>
      <c r="M15" s="25">
        <f t="shared" si="2"/>
        <v>18292.47</v>
      </c>
      <c r="N15" s="25">
        <f t="shared" si="2"/>
        <v>29277.68</v>
      </c>
      <c r="O15" s="25">
        <f t="shared" si="2"/>
        <v>29277.68</v>
      </c>
      <c r="P15" s="25">
        <f t="shared" si="2"/>
        <v>29277.68</v>
      </c>
      <c r="Q15" s="25">
        <f t="shared" si="2"/>
        <v>29277.68</v>
      </c>
      <c r="R15" s="25">
        <f t="shared" si="2"/>
        <v>29277.68</v>
      </c>
      <c r="S15" s="25">
        <f t="shared" si="2"/>
        <v>29277.68</v>
      </c>
      <c r="T15" s="25">
        <f t="shared" si="2"/>
        <v>29277.68</v>
      </c>
      <c r="U15" s="25">
        <f t="shared" si="2"/>
        <v>27677.68</v>
      </c>
      <c r="V15" s="25">
        <f t="shared" si="2"/>
        <v>-38390.120000000003</v>
      </c>
      <c r="W15" s="25">
        <f t="shared" si="2"/>
        <v>27677.68</v>
      </c>
      <c r="X15" s="25">
        <f t="shared" si="2"/>
        <v>27677.68</v>
      </c>
      <c r="Y15" s="25">
        <f>Y5+Y6+Y7+Y9-Y14-Y12-Y13</f>
        <v>27677.68</v>
      </c>
      <c r="Z15" s="25">
        <f>Z5+Z6+Z7+Z9-Z14-Z12-Z13-Z11</f>
        <v>-56380.52</v>
      </c>
      <c r="AA15" s="25">
        <f>AA5+AA6+AA7+AA9-AA14-AA12-AA13-AA11</f>
        <v>-72322.320000000007</v>
      </c>
      <c r="AB15" s="25">
        <f>AB5+AB6+AB7+AB9-AB14-AB12-AB13-AB11</f>
        <v>27677.68</v>
      </c>
      <c r="AC15" s="25">
        <f>AC5+AC6+AC7+AC9-AC14-AC12-AC13-AC11</f>
        <v>39677.68</v>
      </c>
      <c r="AD15" s="25">
        <f>AD5+AD6+AD7+AD9-AD14-AD12-AD13-AD11-AD10</f>
        <v>39677.68</v>
      </c>
      <c r="AE15" s="25">
        <f>AE5+AE6+AE7+AE9-AE14-AE12-AE13-AE11-AE10</f>
        <v>-130000</v>
      </c>
      <c r="AF15" s="41">
        <f>AF5+AF6+AF7+AF8+AF9-AF14-AF12-AF13-AF11-AF10</f>
        <v>181965.35000000003</v>
      </c>
    </row>
    <row r="16" spans="1:36" ht="18.75" x14ac:dyDescent="0.3">
      <c r="A16" s="7" t="s">
        <v>6</v>
      </c>
      <c r="B16" s="18">
        <v>9756.2000000000007</v>
      </c>
      <c r="C16" s="1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29">
        <f t="shared" ref="AF16:AF31" si="3">SUM(D16:P16)</f>
        <v>0</v>
      </c>
    </row>
    <row r="17" spans="1:37" ht="18.75" x14ac:dyDescent="0.25">
      <c r="A17" s="5" t="s">
        <v>2</v>
      </c>
      <c r="B17" s="8"/>
      <c r="C17" s="15">
        <v>2.5</v>
      </c>
      <c r="D17" s="23"/>
      <c r="E17" s="23">
        <f>C17*B16</f>
        <v>24390.5</v>
      </c>
      <c r="F17" s="23">
        <f>B16*C17</f>
        <v>24390.5</v>
      </c>
      <c r="G17" s="23">
        <f>B16*C17</f>
        <v>24390.5</v>
      </c>
      <c r="H17" s="23">
        <f>B16*C17</f>
        <v>24390.5</v>
      </c>
      <c r="I17" s="23">
        <f>B16*C17</f>
        <v>24390.5</v>
      </c>
      <c r="J17" s="23">
        <f>B16*C17</f>
        <v>24390.5</v>
      </c>
      <c r="K17" s="23">
        <f>B16*C17</f>
        <v>24390.5</v>
      </c>
      <c r="L17" s="23">
        <f>C17*B16</f>
        <v>24390.5</v>
      </c>
      <c r="M17" s="23">
        <v>24390.5</v>
      </c>
      <c r="N17" s="23">
        <v>24390.5</v>
      </c>
      <c r="O17" s="23">
        <v>24390.5</v>
      </c>
      <c r="P17" s="23">
        <v>24390.5</v>
      </c>
      <c r="Q17" s="23">
        <v>24390.5</v>
      </c>
      <c r="R17" s="23">
        <v>24390.5</v>
      </c>
      <c r="S17" s="23">
        <v>24390.5</v>
      </c>
      <c r="T17" s="23">
        <v>24390.5</v>
      </c>
      <c r="U17" s="23">
        <v>24390.5</v>
      </c>
      <c r="V17" s="23">
        <v>24390.5</v>
      </c>
      <c r="W17" s="23">
        <v>24390.5</v>
      </c>
      <c r="X17" s="23">
        <v>24390.5</v>
      </c>
      <c r="Y17" s="23">
        <v>24390.5</v>
      </c>
      <c r="Z17" s="23">
        <v>24390.5</v>
      </c>
      <c r="AA17" s="23">
        <v>24390.5</v>
      </c>
      <c r="AB17" s="23">
        <v>24390.5</v>
      </c>
      <c r="AC17" s="23">
        <v>24390.5</v>
      </c>
      <c r="AD17" s="23">
        <v>24390.5</v>
      </c>
      <c r="AE17" s="23"/>
      <c r="AF17" s="24">
        <f>SUM(D17:AE17)</f>
        <v>634153</v>
      </c>
    </row>
    <row r="18" spans="1:37" ht="45" x14ac:dyDescent="0.25">
      <c r="A18" s="5" t="s">
        <v>3</v>
      </c>
      <c r="B18" s="40" t="s">
        <v>24</v>
      </c>
      <c r="C18" s="15">
        <v>975.62</v>
      </c>
      <c r="D18" s="23"/>
      <c r="E18" s="23"/>
      <c r="F18" s="23"/>
      <c r="G18" s="23"/>
      <c r="H18" s="23"/>
      <c r="I18" s="23"/>
      <c r="J18" s="23"/>
      <c r="K18" s="23">
        <v>780.5</v>
      </c>
      <c r="L18" s="23">
        <v>780.5</v>
      </c>
      <c r="M18" s="23">
        <v>780.5</v>
      </c>
      <c r="N18" s="23">
        <v>780.5</v>
      </c>
      <c r="O18" s="23">
        <v>780.5</v>
      </c>
      <c r="P18" s="23">
        <v>780.5</v>
      </c>
      <c r="Q18" s="23">
        <v>780.5</v>
      </c>
      <c r="R18" s="23">
        <v>780.5</v>
      </c>
      <c r="S18" s="23">
        <v>780.5</v>
      </c>
      <c r="T18" s="23">
        <v>780.5</v>
      </c>
      <c r="U18" s="23">
        <v>780.5</v>
      </c>
      <c r="V18" s="23">
        <v>780.5</v>
      </c>
      <c r="W18" s="23">
        <v>780.5</v>
      </c>
      <c r="X18" s="23">
        <v>780.5</v>
      </c>
      <c r="Y18" s="23">
        <v>780.5</v>
      </c>
      <c r="Z18" s="23">
        <v>780.5</v>
      </c>
      <c r="AA18" s="23">
        <v>780.5</v>
      </c>
      <c r="AB18" s="23">
        <v>780.5</v>
      </c>
      <c r="AC18" s="23">
        <v>780.5</v>
      </c>
      <c r="AD18" s="23">
        <v>780.5</v>
      </c>
      <c r="AE18" s="23"/>
      <c r="AF18" s="24">
        <f t="shared" ref="AF18:AF29" si="4">SUM(D18:AE18)</f>
        <v>15610</v>
      </c>
      <c r="AK18" s="24"/>
    </row>
    <row r="19" spans="1:37" ht="60" x14ac:dyDescent="0.25">
      <c r="A19" s="5" t="s">
        <v>4</v>
      </c>
      <c r="B19" s="40" t="s">
        <v>78</v>
      </c>
      <c r="C19" s="15">
        <v>10000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v>10000</v>
      </c>
      <c r="R19" s="23">
        <v>10000</v>
      </c>
      <c r="S19" s="46">
        <v>10000</v>
      </c>
      <c r="T19" s="46">
        <v>10000</v>
      </c>
      <c r="U19" s="46">
        <v>10000</v>
      </c>
      <c r="V19" s="46">
        <v>10000</v>
      </c>
      <c r="W19" s="46">
        <v>10000</v>
      </c>
      <c r="X19" s="46">
        <v>10000</v>
      </c>
      <c r="Y19" s="46">
        <v>10000</v>
      </c>
      <c r="Z19" s="46">
        <v>10000</v>
      </c>
      <c r="AA19" s="46">
        <v>10000</v>
      </c>
      <c r="AB19" s="46">
        <v>10000</v>
      </c>
      <c r="AC19" s="46">
        <v>10000</v>
      </c>
      <c r="AD19" s="46">
        <v>10000</v>
      </c>
      <c r="AE19" s="46"/>
      <c r="AF19" s="24">
        <f t="shared" si="4"/>
        <v>140000</v>
      </c>
    </row>
    <row r="20" spans="1:37" ht="45" x14ac:dyDescent="0.25">
      <c r="A20" s="5" t="s">
        <v>5</v>
      </c>
      <c r="B20" s="40" t="s">
        <v>75</v>
      </c>
      <c r="C20" s="15">
        <v>975.62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46"/>
      <c r="T20" s="46"/>
      <c r="U20" s="46"/>
      <c r="V20" s="46"/>
      <c r="W20" s="46"/>
      <c r="X20" s="23">
        <v>780.5</v>
      </c>
      <c r="Y20" s="23">
        <v>780.5</v>
      </c>
      <c r="Z20" s="23">
        <v>780.5</v>
      </c>
      <c r="AA20" s="23">
        <v>780.5</v>
      </c>
      <c r="AB20" s="23">
        <v>780.5</v>
      </c>
      <c r="AC20" s="23">
        <v>780.5</v>
      </c>
      <c r="AD20" s="23">
        <v>780.5</v>
      </c>
      <c r="AE20" s="23"/>
      <c r="AF20" s="24">
        <f t="shared" si="4"/>
        <v>5463.5</v>
      </c>
    </row>
    <row r="21" spans="1:37" ht="60" x14ac:dyDescent="0.25">
      <c r="A21" s="5" t="s">
        <v>57</v>
      </c>
      <c r="B21" s="40" t="s">
        <v>77</v>
      </c>
      <c r="C21" s="15">
        <v>975.62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46"/>
      <c r="T21" s="46"/>
      <c r="U21" s="46"/>
      <c r="V21" s="46"/>
      <c r="W21" s="46"/>
      <c r="X21" s="46"/>
      <c r="Y21" s="46"/>
      <c r="Z21" s="46"/>
      <c r="AA21" s="46"/>
      <c r="AB21" s="23">
        <v>780.5</v>
      </c>
      <c r="AC21" s="23">
        <v>780.5</v>
      </c>
      <c r="AD21" s="23">
        <v>780.5</v>
      </c>
      <c r="AE21" s="23"/>
      <c r="AF21" s="24">
        <f t="shared" si="4"/>
        <v>2341.5</v>
      </c>
      <c r="AJ21" s="71">
        <f>AB23+AA23+Y24+X24+W25+Y25+Z26+W26+V26</f>
        <v>587924.25</v>
      </c>
    </row>
    <row r="22" spans="1:37" s="69" customFormat="1" ht="45" x14ac:dyDescent="0.25">
      <c r="A22" s="62" t="s">
        <v>55</v>
      </c>
      <c r="B22" s="63" t="s">
        <v>56</v>
      </c>
      <c r="C22" s="64">
        <v>482448.6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66"/>
      <c r="U22" s="66"/>
      <c r="V22" s="66"/>
      <c r="W22" s="67"/>
      <c r="X22" s="66"/>
      <c r="Y22" s="66"/>
      <c r="Z22" s="66"/>
      <c r="AA22" s="66"/>
      <c r="AB22" s="66"/>
      <c r="AC22" s="66">
        <v>152448.6</v>
      </c>
      <c r="AD22" s="66">
        <v>260000</v>
      </c>
      <c r="AE22" s="66">
        <v>70000</v>
      </c>
      <c r="AF22" s="68">
        <f t="shared" si="4"/>
        <v>482448.6</v>
      </c>
    </row>
    <row r="23" spans="1:37" ht="45" x14ac:dyDescent="0.25">
      <c r="A23" s="52" t="s">
        <v>72</v>
      </c>
      <c r="B23" s="12" t="s">
        <v>54</v>
      </c>
      <c r="C23" s="57">
        <v>240000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47"/>
      <c r="T23" s="47"/>
      <c r="U23" s="47"/>
      <c r="V23" s="47"/>
      <c r="W23" s="1"/>
      <c r="X23" s="47"/>
      <c r="Y23" s="47"/>
      <c r="Z23" s="47"/>
      <c r="AA23" s="47">
        <v>72000</v>
      </c>
      <c r="AB23" s="47">
        <v>100000</v>
      </c>
      <c r="AC23" s="47">
        <v>68000</v>
      </c>
      <c r="AD23" s="47"/>
      <c r="AE23" s="47"/>
      <c r="AF23" s="24">
        <f t="shared" si="4"/>
        <v>240000</v>
      </c>
    </row>
    <row r="24" spans="1:37" ht="60" x14ac:dyDescent="0.25">
      <c r="A24" s="52" t="s">
        <v>73</v>
      </c>
      <c r="B24" s="12" t="s">
        <v>40</v>
      </c>
      <c r="C24" s="57">
        <v>110747.75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47"/>
      <c r="T24" s="47"/>
      <c r="U24" s="47"/>
      <c r="V24" s="47"/>
      <c r="W24" s="1"/>
      <c r="X24" s="47">
        <v>60000</v>
      </c>
      <c r="Y24" s="47">
        <v>50747.75</v>
      </c>
      <c r="Z24" s="47"/>
      <c r="AA24" s="47"/>
      <c r="AB24" s="47"/>
      <c r="AC24" s="47"/>
      <c r="AD24" s="47"/>
      <c r="AE24" s="47"/>
      <c r="AF24" s="24">
        <f t="shared" si="4"/>
        <v>110747.75</v>
      </c>
    </row>
    <row r="25" spans="1:37" ht="45" x14ac:dyDescent="0.25">
      <c r="A25" s="52" t="s">
        <v>37</v>
      </c>
      <c r="B25" s="12" t="s">
        <v>36</v>
      </c>
      <c r="C25" s="57">
        <v>75000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47"/>
      <c r="T25" s="47"/>
      <c r="U25" s="47"/>
      <c r="V25" s="47"/>
      <c r="W25" s="47">
        <v>55000</v>
      </c>
      <c r="X25" s="47"/>
      <c r="Y25" s="47">
        <v>20000</v>
      </c>
      <c r="Z25" s="47"/>
      <c r="AA25" s="47"/>
      <c r="AB25" s="47"/>
      <c r="AC25" s="47"/>
      <c r="AD25" s="47"/>
      <c r="AE25" s="47"/>
      <c r="AF25" s="24">
        <f t="shared" si="4"/>
        <v>75000</v>
      </c>
    </row>
    <row r="26" spans="1:37" ht="30" x14ac:dyDescent="0.25">
      <c r="A26" s="52" t="s">
        <v>53</v>
      </c>
      <c r="B26" s="12" t="s">
        <v>52</v>
      </c>
      <c r="C26" s="57">
        <v>230176.5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47"/>
      <c r="T26" s="47"/>
      <c r="U26" s="47"/>
      <c r="V26" s="47">
        <v>69052.95</v>
      </c>
      <c r="W26" s="47">
        <v>100000</v>
      </c>
      <c r="X26" s="47"/>
      <c r="Y26" s="47"/>
      <c r="Z26" s="47">
        <v>61123.55</v>
      </c>
      <c r="AA26" s="47"/>
      <c r="AB26" s="47"/>
      <c r="AC26" s="47"/>
      <c r="AD26" s="47"/>
      <c r="AE26" s="47"/>
      <c r="AF26" s="24">
        <f t="shared" si="4"/>
        <v>230176.5</v>
      </c>
    </row>
    <row r="27" spans="1:37" ht="30" x14ac:dyDescent="0.25">
      <c r="A27" s="10" t="s">
        <v>11</v>
      </c>
      <c r="B27" s="12" t="s">
        <v>27</v>
      </c>
      <c r="C27" s="57">
        <v>66507.100000000006</v>
      </c>
      <c r="D27" s="30"/>
      <c r="E27" s="30"/>
      <c r="F27" s="30"/>
      <c r="G27" s="30"/>
      <c r="H27" s="30"/>
      <c r="I27" s="30"/>
      <c r="J27" s="30"/>
      <c r="K27" s="30"/>
      <c r="L27" s="30">
        <v>20000</v>
      </c>
      <c r="M27" s="30">
        <v>46507.1</v>
      </c>
      <c r="N27" s="30"/>
      <c r="O27" s="30"/>
      <c r="P27" s="30"/>
      <c r="Q27" s="30"/>
      <c r="R27" s="30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24">
        <f t="shared" si="4"/>
        <v>66507.100000000006</v>
      </c>
    </row>
    <row r="28" spans="1:37" ht="18.75" x14ac:dyDescent="0.25">
      <c r="A28" s="10" t="s">
        <v>11</v>
      </c>
      <c r="B28" s="70"/>
      <c r="C28" s="2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4">
        <f t="shared" si="4"/>
        <v>0</v>
      </c>
    </row>
    <row r="29" spans="1:37" ht="30" x14ac:dyDescent="0.25">
      <c r="A29" s="10" t="s">
        <v>11</v>
      </c>
      <c r="B29" s="12" t="s">
        <v>18</v>
      </c>
      <c r="C29" s="57">
        <v>151033</v>
      </c>
      <c r="D29" s="30"/>
      <c r="E29" s="30"/>
      <c r="F29" s="30"/>
      <c r="G29" s="30"/>
      <c r="H29" s="30"/>
      <c r="I29" s="30"/>
      <c r="J29" s="30"/>
      <c r="K29" s="30">
        <v>60413.2</v>
      </c>
      <c r="L29" s="30">
        <v>90619.8</v>
      </c>
      <c r="M29" s="30"/>
      <c r="N29" s="30"/>
      <c r="O29" s="30"/>
      <c r="P29" s="30"/>
      <c r="Q29" s="30"/>
      <c r="R29" s="30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24">
        <f t="shared" si="4"/>
        <v>151033</v>
      </c>
    </row>
    <row r="30" spans="1:37" ht="21" customHeight="1" thickBot="1" x14ac:dyDescent="0.3">
      <c r="A30" s="34" t="s">
        <v>13</v>
      </c>
      <c r="B30" s="70"/>
      <c r="C30" s="20">
        <f>C29+C28+C27+C26+C25+C24+C23+C22</f>
        <v>1355912.95</v>
      </c>
      <c r="D30" s="25">
        <f t="shared" ref="D30:J30" si="5">D17+D18+D19+D21+D29</f>
        <v>0</v>
      </c>
      <c r="E30" s="25">
        <f t="shared" si="5"/>
        <v>24390.5</v>
      </c>
      <c r="F30" s="25">
        <f t="shared" si="5"/>
        <v>24390.5</v>
      </c>
      <c r="G30" s="25">
        <f t="shared" si="5"/>
        <v>24390.5</v>
      </c>
      <c r="H30" s="25">
        <f t="shared" si="5"/>
        <v>24390.5</v>
      </c>
      <c r="I30" s="25">
        <f t="shared" si="5"/>
        <v>24390.5</v>
      </c>
      <c r="J30" s="25">
        <f t="shared" si="5"/>
        <v>24390.5</v>
      </c>
      <c r="K30" s="25">
        <f t="shared" ref="K30:V30" si="6">K17+K18+K19+K21-K27-K26-K28-K29</f>
        <v>-35242.199999999997</v>
      </c>
      <c r="L30" s="25">
        <f t="shared" si="6"/>
        <v>-85448.8</v>
      </c>
      <c r="M30" s="25">
        <f t="shared" si="6"/>
        <v>-21336.1</v>
      </c>
      <c r="N30" s="25">
        <f t="shared" si="6"/>
        <v>25171</v>
      </c>
      <c r="O30" s="25">
        <f t="shared" si="6"/>
        <v>25171</v>
      </c>
      <c r="P30" s="25">
        <f t="shared" si="6"/>
        <v>25171</v>
      </c>
      <c r="Q30" s="25">
        <f t="shared" si="6"/>
        <v>35171</v>
      </c>
      <c r="R30" s="25">
        <f t="shared" si="6"/>
        <v>35171</v>
      </c>
      <c r="S30" s="25">
        <f t="shared" si="6"/>
        <v>35171</v>
      </c>
      <c r="T30" s="25">
        <f t="shared" si="6"/>
        <v>35171</v>
      </c>
      <c r="U30" s="25">
        <f t="shared" si="6"/>
        <v>35171</v>
      </c>
      <c r="V30" s="25">
        <f t="shared" si="6"/>
        <v>-33881.949999999997</v>
      </c>
      <c r="W30" s="25">
        <f>W17+W18+W19+W21-W27-W26-W28-W29-W25-X24</f>
        <v>-179829</v>
      </c>
      <c r="X30" s="25">
        <f>X17+X18+X19+X21-X27-X26-X28-X29-X25-X24</f>
        <v>-24829</v>
      </c>
      <c r="Y30" s="25">
        <f>Y17+Y18+Y19+Y21-Y27-Y26-Y28-Y29-Y25-Y24</f>
        <v>-35576.75</v>
      </c>
      <c r="Z30" s="25">
        <f>Z17+Z18+Z19+Z21-Z27-Z26-Z28-Z29-Z25-Z24</f>
        <v>-25952.550000000003</v>
      </c>
      <c r="AA30" s="25">
        <f>AA17+AA18+AA19+AA21-AA27-AA26-AA28-AA29-AA25-AA24-AA23</f>
        <v>-36829</v>
      </c>
      <c r="AB30" s="25">
        <f>AB17+AB18+AB19+AB21-AB27-AB26-AB28-AB29-AB25-AB24-AB23</f>
        <v>-64048.5</v>
      </c>
      <c r="AC30" s="25">
        <f>AC17+AC18+AC19+AC21-AC27-AC26-AC28-AC29-AC25-AC24-AC23-AC22</f>
        <v>-184497.1</v>
      </c>
      <c r="AD30" s="25">
        <f>AD17+AD18+AD19+AD21-AD27-AD26-AD28-AD29-AD25-AD24-AD23-AD22</f>
        <v>-224048.5</v>
      </c>
      <c r="AE30" s="25">
        <f>AE17+AE18+AE19+AE21-AE27-AE26-AE28-AE29-AE25-AE24-AE23-AE22</f>
        <v>-70000</v>
      </c>
      <c r="AF30" s="41">
        <f>AF17+AF18+AF19+AF21+AF20-AF29-AF27-AF26-AF28-AF25-AF24-AF23-AF22</f>
        <v>-558344.94999999995</v>
      </c>
    </row>
    <row r="31" spans="1:37" ht="18.75" x14ac:dyDescent="0.3">
      <c r="A31" s="2" t="s">
        <v>7</v>
      </c>
      <c r="B31" s="14">
        <v>4323.3999999999996</v>
      </c>
      <c r="C31" s="1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27">
        <f t="shared" si="3"/>
        <v>0</v>
      </c>
    </row>
    <row r="32" spans="1:37" ht="18.75" x14ac:dyDescent="0.25">
      <c r="A32" s="13" t="s">
        <v>2</v>
      </c>
      <c r="B32" s="21"/>
      <c r="C32" s="15">
        <v>5.5</v>
      </c>
      <c r="D32" s="23"/>
      <c r="E32" s="23"/>
      <c r="F32" s="23"/>
      <c r="G32" s="23"/>
      <c r="H32" s="23"/>
      <c r="I32" s="23">
        <f>B31*C32</f>
        <v>23778.699999999997</v>
      </c>
      <c r="J32" s="23">
        <f>C32*B31</f>
        <v>23778.699999999997</v>
      </c>
      <c r="K32" s="23">
        <f>C32*B31</f>
        <v>23778.699999999997</v>
      </c>
      <c r="L32" s="23">
        <f>C32*B31</f>
        <v>23778.699999999997</v>
      </c>
      <c r="M32" s="23">
        <v>23778.7</v>
      </c>
      <c r="N32" s="23">
        <v>23778.7</v>
      </c>
      <c r="O32" s="23">
        <v>23778.7</v>
      </c>
      <c r="P32" s="23">
        <v>23778.7</v>
      </c>
      <c r="Q32" s="23">
        <v>23778.7</v>
      </c>
      <c r="R32" s="23">
        <v>23778.7</v>
      </c>
      <c r="S32" s="23">
        <v>23778.7</v>
      </c>
      <c r="T32" s="23">
        <v>23778.7</v>
      </c>
      <c r="U32" s="23">
        <v>23778.7</v>
      </c>
      <c r="V32" s="23">
        <v>23778.7</v>
      </c>
      <c r="W32" s="23">
        <v>23778.7</v>
      </c>
      <c r="X32" s="23">
        <v>23778.7</v>
      </c>
      <c r="Y32" s="23">
        <v>23778.7</v>
      </c>
      <c r="Z32" s="23">
        <v>23778.7</v>
      </c>
      <c r="AA32" s="23">
        <v>23778.7</v>
      </c>
      <c r="AB32" s="23">
        <v>23778.7</v>
      </c>
      <c r="AC32" s="23">
        <v>23778.7</v>
      </c>
      <c r="AD32" s="23">
        <v>23778.7</v>
      </c>
      <c r="AE32" s="46"/>
      <c r="AF32" s="24">
        <f>SUM(I32:AE32)</f>
        <v>523131.40000000014</v>
      </c>
    </row>
    <row r="33" spans="1:36" ht="60" x14ac:dyDescent="0.25">
      <c r="A33" s="13" t="s">
        <v>3</v>
      </c>
      <c r="B33" s="40" t="s">
        <v>74</v>
      </c>
      <c r="C33" s="15">
        <v>432.34</v>
      </c>
      <c r="D33" s="23"/>
      <c r="E33" s="23"/>
      <c r="F33" s="23"/>
      <c r="G33" s="23"/>
      <c r="H33" s="23"/>
      <c r="I33" s="23"/>
      <c r="J33" s="23"/>
      <c r="K33" s="23">
        <v>345.87</v>
      </c>
      <c r="L33" s="23">
        <v>345.87</v>
      </c>
      <c r="M33" s="23">
        <v>345.87</v>
      </c>
      <c r="N33" s="23">
        <v>345.87</v>
      </c>
      <c r="O33" s="23">
        <v>345.87</v>
      </c>
      <c r="P33" s="23">
        <v>345.87</v>
      </c>
      <c r="Q33" s="23">
        <v>345.87</v>
      </c>
      <c r="R33" s="23">
        <v>345.87</v>
      </c>
      <c r="S33" s="23">
        <v>345.87</v>
      </c>
      <c r="T33" s="23">
        <v>345.87</v>
      </c>
      <c r="U33" s="23">
        <v>345.87</v>
      </c>
      <c r="V33" s="23">
        <v>345.87</v>
      </c>
      <c r="W33" s="23">
        <v>345.87</v>
      </c>
      <c r="X33" s="23">
        <v>345.87</v>
      </c>
      <c r="Y33" s="23">
        <v>345.87</v>
      </c>
      <c r="Z33" s="23">
        <v>345.87</v>
      </c>
      <c r="AA33" s="23">
        <v>345.87</v>
      </c>
      <c r="AB33" s="23">
        <v>345.87</v>
      </c>
      <c r="AC33" s="23">
        <v>345.87</v>
      </c>
      <c r="AD33" s="23">
        <v>345.87</v>
      </c>
      <c r="AE33" s="46"/>
      <c r="AF33" s="24">
        <f t="shared" ref="AF33:AF39" si="7">SUM(I33:AE33)</f>
        <v>6917.3999999999987</v>
      </c>
    </row>
    <row r="34" spans="1:36" ht="45" x14ac:dyDescent="0.25">
      <c r="A34" s="5" t="s">
        <v>4</v>
      </c>
      <c r="B34" s="40" t="s">
        <v>75</v>
      </c>
      <c r="C34" s="1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>
        <v>345.87</v>
      </c>
      <c r="Y34" s="23">
        <v>345.87</v>
      </c>
      <c r="Z34" s="23">
        <v>345.87</v>
      </c>
      <c r="AA34" s="23">
        <v>345.87</v>
      </c>
      <c r="AB34" s="23">
        <v>345.87</v>
      </c>
      <c r="AC34" s="23">
        <v>345.87</v>
      </c>
      <c r="AD34" s="23">
        <v>345.87</v>
      </c>
      <c r="AE34" s="46"/>
      <c r="AF34" s="24">
        <f>SUM(I34:AE34)</f>
        <v>2421.0899999999997</v>
      </c>
    </row>
    <row r="35" spans="1:36" ht="60" x14ac:dyDescent="0.25">
      <c r="A35" s="5" t="s">
        <v>5</v>
      </c>
      <c r="B35" s="40" t="s">
        <v>77</v>
      </c>
      <c r="C35" s="1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>
        <v>345.87</v>
      </c>
      <c r="AC35" s="23">
        <v>345.87</v>
      </c>
      <c r="AD35" s="23">
        <v>345.87</v>
      </c>
      <c r="AE35" s="46"/>
      <c r="AF35" s="24">
        <f>SUM(I35:AE35)</f>
        <v>1037.6100000000001</v>
      </c>
    </row>
    <row r="36" spans="1:36" ht="30" x14ac:dyDescent="0.25">
      <c r="A36" s="52" t="s">
        <v>46</v>
      </c>
      <c r="B36" s="40" t="s">
        <v>31</v>
      </c>
      <c r="C36" s="55">
        <v>178739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6"/>
      <c r="R36" s="46"/>
      <c r="S36" s="46"/>
      <c r="T36" s="46"/>
      <c r="U36" s="46"/>
      <c r="V36" s="46">
        <v>41715</v>
      </c>
      <c r="W36" s="46">
        <v>0</v>
      </c>
      <c r="X36" s="46"/>
      <c r="Y36" s="46">
        <v>80000</v>
      </c>
      <c r="Z36" s="46">
        <v>57024</v>
      </c>
      <c r="AA36" s="46"/>
      <c r="AB36" s="46"/>
      <c r="AC36" s="46"/>
      <c r="AD36" s="46"/>
      <c r="AE36" s="46"/>
      <c r="AF36" s="24">
        <f t="shared" si="7"/>
        <v>178739</v>
      </c>
    </row>
    <row r="37" spans="1:36" ht="75" x14ac:dyDescent="0.25">
      <c r="A37" s="52" t="s">
        <v>47</v>
      </c>
      <c r="B37" s="40" t="s">
        <v>30</v>
      </c>
      <c r="C37" s="55">
        <v>43260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46"/>
      <c r="R37" s="46">
        <v>42110</v>
      </c>
      <c r="S37" s="46">
        <v>1150</v>
      </c>
      <c r="T37" s="46"/>
      <c r="U37" s="46"/>
      <c r="V37" s="1"/>
      <c r="W37" s="16"/>
      <c r="X37" s="16"/>
      <c r="Y37" s="16"/>
      <c r="Z37" s="16"/>
      <c r="AA37" s="16"/>
      <c r="AB37" s="16"/>
      <c r="AC37" s="16"/>
      <c r="AD37" s="16"/>
      <c r="AE37" s="16"/>
      <c r="AF37" s="24">
        <f t="shared" si="7"/>
        <v>43260</v>
      </c>
      <c r="AH37">
        <f>AF36+AF37</f>
        <v>221999</v>
      </c>
      <c r="AJ37" s="71">
        <f>Z36+Y36+V36+R37+S37</f>
        <v>221999</v>
      </c>
    </row>
    <row r="38" spans="1:36" ht="105" x14ac:dyDescent="0.25">
      <c r="A38" s="52" t="s">
        <v>80</v>
      </c>
      <c r="B38" s="40" t="s">
        <v>22</v>
      </c>
      <c r="C38" s="55">
        <v>69719.97</v>
      </c>
      <c r="D38" s="23"/>
      <c r="E38" s="23"/>
      <c r="F38" s="23"/>
      <c r="G38" s="23"/>
      <c r="H38" s="23"/>
      <c r="I38" s="23"/>
      <c r="J38" s="23"/>
      <c r="K38" s="23"/>
      <c r="L38" s="23"/>
      <c r="M38" s="23">
        <v>20000</v>
      </c>
      <c r="N38" s="23"/>
      <c r="O38" s="23">
        <v>49719.97</v>
      </c>
      <c r="P38" s="23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24">
        <f t="shared" si="7"/>
        <v>69719.97</v>
      </c>
      <c r="AG38" s="58"/>
    </row>
    <row r="39" spans="1:36" ht="90" x14ac:dyDescent="0.25">
      <c r="A39" s="52" t="s">
        <v>81</v>
      </c>
      <c r="B39" s="12" t="s">
        <v>19</v>
      </c>
      <c r="C39" s="57">
        <v>65499</v>
      </c>
      <c r="D39" s="30"/>
      <c r="E39" s="30"/>
      <c r="F39" s="30"/>
      <c r="G39" s="30"/>
      <c r="H39" s="30"/>
      <c r="I39" s="30"/>
      <c r="J39" s="30">
        <v>10000</v>
      </c>
      <c r="K39" s="30"/>
      <c r="L39" s="30"/>
      <c r="M39" s="30"/>
      <c r="N39" s="30"/>
      <c r="O39" s="30"/>
      <c r="P39" s="30">
        <v>55499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24">
        <f t="shared" si="7"/>
        <v>65499</v>
      </c>
    </row>
    <row r="40" spans="1:36" ht="19.5" thickBot="1" x14ac:dyDescent="0.3">
      <c r="A40" s="34" t="s">
        <v>13</v>
      </c>
      <c r="B40" s="31"/>
      <c r="C40" s="19">
        <f>C38+C39+C37+C36</f>
        <v>357217.97</v>
      </c>
      <c r="D40" s="25">
        <f t="shared" ref="D40:I40" si="8">D32+D33+D36+D38+D39</f>
        <v>0</v>
      </c>
      <c r="E40" s="25">
        <f t="shared" si="8"/>
        <v>0</v>
      </c>
      <c r="F40" s="25">
        <f t="shared" si="8"/>
        <v>0</v>
      </c>
      <c r="G40" s="25">
        <f t="shared" si="8"/>
        <v>0</v>
      </c>
      <c r="H40" s="25">
        <f t="shared" si="8"/>
        <v>0</v>
      </c>
      <c r="I40" s="25">
        <f t="shared" si="8"/>
        <v>23778.699999999997</v>
      </c>
      <c r="J40" s="25">
        <f>J32+J33+J36+J38-J39</f>
        <v>13778.699999999997</v>
      </c>
      <c r="K40" s="25">
        <f>K32+K33+K36+K38-K39</f>
        <v>24124.569999999996</v>
      </c>
      <c r="L40" s="25">
        <f t="shared" ref="L40:Q40" si="9">L32+L33+L36+L38-L39</f>
        <v>24124.569999999996</v>
      </c>
      <c r="M40" s="25">
        <f>M32+M33+M36-M38-M39</f>
        <v>4124.57</v>
      </c>
      <c r="N40" s="25">
        <f>N32+N33+N36-N38-N39</f>
        <v>24124.57</v>
      </c>
      <c r="O40" s="25">
        <f>O32+O33+O36-O38-O39</f>
        <v>-25595.4</v>
      </c>
      <c r="P40" s="25">
        <f t="shared" si="9"/>
        <v>-31374.43</v>
      </c>
      <c r="Q40" s="25">
        <f t="shared" si="9"/>
        <v>24124.57</v>
      </c>
      <c r="R40" s="25">
        <f>R32+R33+R36+R38-R39-R37</f>
        <v>-17985.43</v>
      </c>
      <c r="S40" s="25">
        <f>S32+S33+S36+S38-S39-S37</f>
        <v>22974.57</v>
      </c>
      <c r="T40" s="25">
        <f>T32+T33+T36+T38-T39-T37</f>
        <v>24124.57</v>
      </c>
      <c r="U40" s="25">
        <f t="shared" ref="U40:W40" si="10">U32+U33-U36+U38-U39-U37</f>
        <v>24124.57</v>
      </c>
      <c r="V40" s="25">
        <f t="shared" si="10"/>
        <v>-17590.43</v>
      </c>
      <c r="W40" s="25">
        <f t="shared" si="10"/>
        <v>24124.57</v>
      </c>
      <c r="X40" s="25">
        <f>X32+X33-X36+X38-X39-X37+X34</f>
        <v>24470.44</v>
      </c>
      <c r="Y40" s="25">
        <f>Y32+Y33-Y36+Y38-Y39-Y37+Y34</f>
        <v>-55529.56</v>
      </c>
      <c r="Z40" s="25">
        <f>Z32+Z33-Z36+Z38-Z39-Z37+Z34</f>
        <v>-32553.56</v>
      </c>
      <c r="AA40" s="25">
        <f>AA32+AA33-AA36+AA38-AA39-AA37+AA34</f>
        <v>24470.44</v>
      </c>
      <c r="AB40" s="25">
        <f>AB32+AB33-AB36+AB38-AB39-AB37+AB34+AB35</f>
        <v>24816.309999999998</v>
      </c>
      <c r="AC40" s="25">
        <f>AC32+AC33-AC36+AC38-AC39-AC37+AC34+AC35</f>
        <v>24816.309999999998</v>
      </c>
      <c r="AD40" s="25">
        <f>AD32+AD33-AD36+AD38-AD39-AD37+AD34+AD35</f>
        <v>24816.309999999998</v>
      </c>
      <c r="AE40" s="25"/>
      <c r="AF40" s="43">
        <f>AF32+AF33+AF34+AF35-AF36-AF38-AF39-AF37</f>
        <v>176289.53000000014</v>
      </c>
    </row>
    <row r="41" spans="1:36" ht="18.75" x14ac:dyDescent="0.3">
      <c r="A41" s="2" t="s">
        <v>17</v>
      </c>
      <c r="B41" s="14">
        <v>4185.8999999999996</v>
      </c>
      <c r="C41" s="1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27"/>
    </row>
    <row r="42" spans="1:36" ht="18.75" x14ac:dyDescent="0.25">
      <c r="A42" s="13" t="s">
        <v>2</v>
      </c>
      <c r="B42" s="21"/>
      <c r="C42" s="15">
        <v>4</v>
      </c>
      <c r="D42" s="23"/>
      <c r="E42" s="23"/>
      <c r="F42" s="23"/>
      <c r="G42" s="23"/>
      <c r="H42" s="23"/>
      <c r="I42" s="23"/>
      <c r="J42" s="23">
        <f>B41*C42</f>
        <v>16743.599999999999</v>
      </c>
      <c r="K42" s="23">
        <f>C42*B41</f>
        <v>16743.599999999999</v>
      </c>
      <c r="L42" s="23">
        <f>C42*B41</f>
        <v>16743.599999999999</v>
      </c>
      <c r="M42" s="23">
        <v>16743.599999999999</v>
      </c>
      <c r="N42" s="23">
        <v>16743.599999999999</v>
      </c>
      <c r="O42" s="23">
        <v>16743.599999999999</v>
      </c>
      <c r="P42" s="23">
        <v>16743.599999999999</v>
      </c>
      <c r="Q42" s="23">
        <v>16743.599999999999</v>
      </c>
      <c r="R42" s="23">
        <v>16743.599999999999</v>
      </c>
      <c r="S42" s="23">
        <v>16743.599999999999</v>
      </c>
      <c r="T42" s="23">
        <v>16743.599999999999</v>
      </c>
      <c r="U42" s="23">
        <v>16743.599999999999</v>
      </c>
      <c r="V42" s="23">
        <v>16743.599999999999</v>
      </c>
      <c r="W42" s="46">
        <v>16743.599999999999</v>
      </c>
      <c r="X42" s="46">
        <v>16743.599999999999</v>
      </c>
      <c r="Y42" s="46">
        <v>16743.599999999999</v>
      </c>
      <c r="Z42" s="46">
        <v>16743.599999999999</v>
      </c>
      <c r="AA42" s="46">
        <v>16743.599999999999</v>
      </c>
      <c r="AB42" s="46">
        <v>16743.599999999999</v>
      </c>
      <c r="AC42" s="46">
        <v>16743.599999999999</v>
      </c>
      <c r="AD42" s="46">
        <v>16743.599999999999</v>
      </c>
      <c r="AE42" s="46"/>
      <c r="AF42" s="24">
        <f>SUM(D42:AE42)</f>
        <v>351615.59999999992</v>
      </c>
    </row>
    <row r="43" spans="1:36" ht="18.75" x14ac:dyDescent="0.25">
      <c r="A43" s="13" t="s">
        <v>3</v>
      </c>
      <c r="B43" s="21"/>
      <c r="C43" s="1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24">
        <f t="shared" ref="AF43:AF48" si="11">SUM(D43:AE43)</f>
        <v>0</v>
      </c>
    </row>
    <row r="44" spans="1:36" ht="45.75" thickBot="1" x14ac:dyDescent="0.3">
      <c r="A44" s="10" t="s">
        <v>11</v>
      </c>
      <c r="B44" s="37" t="s">
        <v>41</v>
      </c>
      <c r="C44" s="55">
        <v>49660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46"/>
      <c r="R44" s="46"/>
      <c r="S44" s="46"/>
      <c r="T44" s="46"/>
      <c r="U44" s="46"/>
      <c r="V44" s="46"/>
      <c r="W44" s="46"/>
      <c r="X44" s="46"/>
      <c r="Y44" s="46">
        <v>49252.25</v>
      </c>
      <c r="Z44" s="46">
        <v>407.75</v>
      </c>
      <c r="AA44" s="46"/>
      <c r="AB44" s="46"/>
      <c r="AC44" s="25"/>
      <c r="AD44" s="46"/>
      <c r="AE44" s="46"/>
      <c r="AF44" s="24">
        <f t="shared" si="11"/>
        <v>49660</v>
      </c>
      <c r="AH44">
        <f>49660-49252.25</f>
        <v>407.75</v>
      </c>
    </row>
    <row r="45" spans="1:36" ht="30" x14ac:dyDescent="0.25">
      <c r="A45" s="10" t="s">
        <v>11</v>
      </c>
      <c r="B45" s="40" t="s">
        <v>35</v>
      </c>
      <c r="C45" s="55">
        <v>19016.740000000002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46"/>
      <c r="R45" s="46"/>
      <c r="S45" s="46"/>
      <c r="T45" s="46"/>
      <c r="U45" s="46"/>
      <c r="V45" s="46"/>
      <c r="W45" s="46">
        <v>19016.740000000002</v>
      </c>
      <c r="X45" s="46"/>
      <c r="Y45" s="46"/>
      <c r="Z45" s="46"/>
      <c r="AA45" s="46"/>
      <c r="AB45" s="46"/>
      <c r="AC45" s="46"/>
      <c r="AD45" s="46"/>
      <c r="AE45" s="46"/>
      <c r="AF45" s="24">
        <f t="shared" si="11"/>
        <v>19016.740000000002</v>
      </c>
    </row>
    <row r="46" spans="1:36" ht="30" x14ac:dyDescent="0.25">
      <c r="A46" s="10" t="s">
        <v>11</v>
      </c>
      <c r="B46" s="12" t="s">
        <v>32</v>
      </c>
      <c r="C46" s="55">
        <v>188796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46"/>
      <c r="R46" s="46"/>
      <c r="S46" s="46"/>
      <c r="T46" s="46"/>
      <c r="U46" s="46"/>
      <c r="V46" s="46">
        <v>40410</v>
      </c>
      <c r="W46" s="46">
        <v>148386</v>
      </c>
      <c r="X46" s="46"/>
      <c r="Y46" s="46"/>
      <c r="Z46" s="46"/>
      <c r="AA46" s="46"/>
      <c r="AB46" s="46"/>
      <c r="AC46" s="46"/>
      <c r="AD46" s="46"/>
      <c r="AE46" s="46"/>
      <c r="AF46" s="24">
        <f t="shared" si="11"/>
        <v>188796</v>
      </c>
      <c r="AJ46" s="71">
        <f>V46+W45+W46+Y44+Z44</f>
        <v>257472.74</v>
      </c>
    </row>
    <row r="47" spans="1:36" ht="45" x14ac:dyDescent="0.25">
      <c r="A47" s="10" t="s">
        <v>11</v>
      </c>
      <c r="B47" s="42" t="s">
        <v>25</v>
      </c>
      <c r="C47" s="57">
        <v>90668</v>
      </c>
      <c r="D47" s="30"/>
      <c r="E47" s="30"/>
      <c r="F47" s="30"/>
      <c r="G47" s="30"/>
      <c r="H47" s="30"/>
      <c r="I47" s="30"/>
      <c r="J47" s="30"/>
      <c r="K47" s="30"/>
      <c r="L47" s="30"/>
      <c r="M47" s="30">
        <v>30000</v>
      </c>
      <c r="N47" s="30"/>
      <c r="O47" s="30">
        <v>60668</v>
      </c>
      <c r="P47" s="30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24">
        <f t="shared" si="11"/>
        <v>90668</v>
      </c>
    </row>
    <row r="48" spans="1:36" ht="30" x14ac:dyDescent="0.25">
      <c r="A48" s="10" t="s">
        <v>11</v>
      </c>
      <c r="B48" s="12" t="s">
        <v>21</v>
      </c>
      <c r="C48" s="57">
        <v>49710.52</v>
      </c>
      <c r="D48" s="30"/>
      <c r="E48" s="30"/>
      <c r="F48" s="30"/>
      <c r="G48" s="30"/>
      <c r="H48" s="30"/>
      <c r="I48" s="30"/>
      <c r="J48" s="30"/>
      <c r="K48" s="30"/>
      <c r="L48" s="30">
        <v>15000</v>
      </c>
      <c r="M48" s="30">
        <v>34710.519999999997</v>
      </c>
      <c r="N48" s="30"/>
      <c r="O48" s="30"/>
      <c r="P48" s="30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24">
        <f t="shared" si="11"/>
        <v>49710.52</v>
      </c>
    </row>
    <row r="49" spans="1:36" ht="19.5" thickBot="1" x14ac:dyDescent="0.3">
      <c r="A49" s="34" t="s">
        <v>13</v>
      </c>
      <c r="B49" s="31"/>
      <c r="C49" s="19">
        <f>C47+C48+C46+C45+C44</f>
        <v>397851.26</v>
      </c>
      <c r="D49" s="25">
        <f t="shared" ref="D49:I49" si="12">D42+D43+D45+D46+D48</f>
        <v>0</v>
      </c>
      <c r="E49" s="25">
        <f t="shared" si="12"/>
        <v>0</v>
      </c>
      <c r="F49" s="25">
        <f t="shared" si="12"/>
        <v>0</v>
      </c>
      <c r="G49" s="25">
        <f t="shared" si="12"/>
        <v>0</v>
      </c>
      <c r="H49" s="25">
        <f t="shared" si="12"/>
        <v>0</v>
      </c>
      <c r="I49" s="25">
        <f t="shared" si="12"/>
        <v>0</v>
      </c>
      <c r="J49" s="25">
        <f>J42+J43+J45+J46-J48-J47</f>
        <v>16743.599999999999</v>
      </c>
      <c r="K49" s="25">
        <f t="shared" ref="K49:P49" si="13">K42+K43+K45+K46-K48-K47</f>
        <v>16743.599999999999</v>
      </c>
      <c r="L49" s="25">
        <f t="shared" si="13"/>
        <v>1743.5999999999985</v>
      </c>
      <c r="M49" s="25">
        <f t="shared" si="13"/>
        <v>-47966.92</v>
      </c>
      <c r="N49" s="25">
        <f t="shared" si="13"/>
        <v>16743.599999999999</v>
      </c>
      <c r="O49" s="25">
        <f t="shared" si="13"/>
        <v>-43924.4</v>
      </c>
      <c r="P49" s="25">
        <f t="shared" si="13"/>
        <v>16743.599999999999</v>
      </c>
      <c r="Q49" s="25">
        <f t="shared" ref="Q49:R49" si="14">Q41+Q42+Q43+Q45-Q48-Q46-Q47</f>
        <v>16743.599999999999</v>
      </c>
      <c r="R49" s="25">
        <f t="shared" si="14"/>
        <v>16743.599999999999</v>
      </c>
      <c r="S49" s="25">
        <f>S41+S42+S43+S45-S48-S46-S47</f>
        <v>16743.599999999999</v>
      </c>
      <c r="T49" s="25">
        <f>T41+T42+T43+T45-T48-T46-T47</f>
        <v>16743.599999999999</v>
      </c>
      <c r="U49" s="25">
        <f>U41+U42+U43+U45-U48-U46-U47</f>
        <v>16743.599999999999</v>
      </c>
      <c r="V49" s="25">
        <f>V41+V42+V43-V45-V48-V46-V47</f>
        <v>-23666.400000000001</v>
      </c>
      <c r="W49" s="25">
        <f>W41+W42+W43-W45-W48-W46-W47</f>
        <v>-150659.14000000001</v>
      </c>
      <c r="X49" s="25">
        <f>X41+X42+X43-X45-X48-X46-X47</f>
        <v>16743.599999999999</v>
      </c>
      <c r="Y49" s="25">
        <f>Y41+Y42+Y43-Y45-Y48-Y46-Y47-Y44</f>
        <v>-32508.65</v>
      </c>
      <c r="Z49" s="25">
        <f>Z41+Z42+Z43-Z45-Z48-Z46-Z47-Z44</f>
        <v>16335.849999999999</v>
      </c>
      <c r="AA49" s="25">
        <f>AA41+AA42+AA43-AA45-AA48-AA46-AA47-AA44</f>
        <v>16743.599999999999</v>
      </c>
      <c r="AB49" s="25">
        <f>AB41+AB42+AB43-AB45-AB48-AB46-AB47-AB44</f>
        <v>16743.599999999999</v>
      </c>
      <c r="AC49" s="25">
        <f t="shared" ref="AC49:AE49" si="15">AC41+AC42+AC43-AC45-AC48-AC46-AC47-AC44</f>
        <v>16743.599999999999</v>
      </c>
      <c r="AD49" s="25">
        <f t="shared" si="15"/>
        <v>16743.599999999999</v>
      </c>
      <c r="AE49" s="25">
        <f t="shared" si="15"/>
        <v>0</v>
      </c>
      <c r="AF49" s="41">
        <f>AF42+AF43-AF45-AF47-AF48-AF46-AF44</f>
        <v>-46235.660000000062</v>
      </c>
    </row>
    <row r="50" spans="1:36" ht="18.75" x14ac:dyDescent="0.3">
      <c r="A50" s="2" t="s">
        <v>8</v>
      </c>
      <c r="B50" s="14">
        <v>5311.8</v>
      </c>
      <c r="C50" s="1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27">
        <f t="shared" ref="AF50" si="16">SUM(D50:P50)</f>
        <v>0</v>
      </c>
    </row>
    <row r="51" spans="1:36" ht="18.75" x14ac:dyDescent="0.25">
      <c r="A51" s="5" t="s">
        <v>2</v>
      </c>
      <c r="B51" s="21"/>
      <c r="C51" s="15">
        <v>4</v>
      </c>
      <c r="D51" s="23"/>
      <c r="E51" s="23"/>
      <c r="F51" s="23"/>
      <c r="G51" s="23"/>
      <c r="H51" s="23">
        <f>B50*C51</f>
        <v>21247.200000000001</v>
      </c>
      <c r="I51" s="23">
        <f>B50*C51</f>
        <v>21247.200000000001</v>
      </c>
      <c r="J51" s="23">
        <f>C51*B50</f>
        <v>21247.200000000001</v>
      </c>
      <c r="K51" s="23">
        <f>B50*C51</f>
        <v>21247.200000000001</v>
      </c>
      <c r="L51" s="23">
        <f>C51*B50</f>
        <v>21247.200000000001</v>
      </c>
      <c r="M51" s="23">
        <v>21247.200000000001</v>
      </c>
      <c r="N51" s="23">
        <v>21247.200000000001</v>
      </c>
      <c r="O51" s="23">
        <v>21247.200000000001</v>
      </c>
      <c r="P51" s="23">
        <v>21247.200000000001</v>
      </c>
      <c r="Q51" s="23">
        <v>21247.200000000001</v>
      </c>
      <c r="R51" s="23">
        <v>21247.200000000001</v>
      </c>
      <c r="S51" s="23">
        <v>21247.200000000001</v>
      </c>
      <c r="T51" s="23">
        <v>21247.200000000001</v>
      </c>
      <c r="U51" s="23">
        <v>21247.200000000001</v>
      </c>
      <c r="V51" s="23">
        <v>21247.200000000001</v>
      </c>
      <c r="W51" s="23">
        <v>21247.200000000001</v>
      </c>
      <c r="X51" s="23">
        <v>21247.200000000001</v>
      </c>
      <c r="Y51" s="23">
        <v>21247.200000000001</v>
      </c>
      <c r="Z51" s="23">
        <v>21247.200000000001</v>
      </c>
      <c r="AA51" s="23">
        <v>21247.200000000001</v>
      </c>
      <c r="AB51" s="23">
        <v>21247.200000000001</v>
      </c>
      <c r="AC51" s="23">
        <v>21247.200000000001</v>
      </c>
      <c r="AD51" s="23">
        <v>21247.200000000001</v>
      </c>
      <c r="AE51" s="46"/>
      <c r="AF51" s="24">
        <f>SUM(D51:AE51)</f>
        <v>488685.60000000015</v>
      </c>
    </row>
    <row r="52" spans="1:36" ht="60" x14ac:dyDescent="0.25">
      <c r="A52" s="5" t="s">
        <v>3</v>
      </c>
      <c r="B52" s="40" t="s">
        <v>74</v>
      </c>
      <c r="C52" s="15">
        <v>531.17999999999995</v>
      </c>
      <c r="D52" s="23"/>
      <c r="E52" s="23"/>
      <c r="F52" s="23"/>
      <c r="G52" s="23"/>
      <c r="H52" s="23"/>
      <c r="I52" s="23"/>
      <c r="J52" s="23">
        <v>424.94</v>
      </c>
      <c r="K52" s="23">
        <v>424.94</v>
      </c>
      <c r="L52" s="23">
        <v>424.94</v>
      </c>
      <c r="M52" s="23">
        <v>424.94</v>
      </c>
      <c r="N52" s="23">
        <v>424.94</v>
      </c>
      <c r="O52" s="23">
        <v>424.94</v>
      </c>
      <c r="P52" s="23">
        <v>424.94</v>
      </c>
      <c r="Q52" s="23">
        <v>424.94</v>
      </c>
      <c r="R52" s="23">
        <v>424.94</v>
      </c>
      <c r="S52" s="23">
        <v>424.94</v>
      </c>
      <c r="T52" s="23">
        <v>424.94</v>
      </c>
      <c r="U52" s="23">
        <v>424.94</v>
      </c>
      <c r="V52" s="23">
        <v>424.94</v>
      </c>
      <c r="W52" s="23">
        <v>424.94</v>
      </c>
      <c r="X52" s="23">
        <v>424.94</v>
      </c>
      <c r="Y52" s="23">
        <v>424.94</v>
      </c>
      <c r="Z52" s="23">
        <v>424.94</v>
      </c>
      <c r="AA52" s="23">
        <v>424.94</v>
      </c>
      <c r="AB52" s="23">
        <v>424.94</v>
      </c>
      <c r="AC52" s="23">
        <v>424.94</v>
      </c>
      <c r="AD52" s="23">
        <v>424.94</v>
      </c>
      <c r="AE52" s="46"/>
      <c r="AF52" s="24">
        <f>SUM(D52:AE52)</f>
        <v>8923.7399999999961</v>
      </c>
    </row>
    <row r="53" spans="1:36" ht="18.75" x14ac:dyDescent="0.25">
      <c r="A53" s="5" t="s">
        <v>4</v>
      </c>
      <c r="B53" s="8"/>
      <c r="C53" s="15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24">
        <f t="shared" ref="AF53:AF58" si="17">SUM(D53:AE53)</f>
        <v>0</v>
      </c>
    </row>
    <row r="54" spans="1:36" ht="45" x14ac:dyDescent="0.25">
      <c r="A54" s="52" t="s">
        <v>43</v>
      </c>
      <c r="B54" s="12" t="s">
        <v>42</v>
      </c>
      <c r="C54" s="57">
        <v>28275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47"/>
      <c r="T54" s="47"/>
      <c r="U54" s="47"/>
      <c r="V54" s="47"/>
      <c r="W54" s="47"/>
      <c r="X54" s="47"/>
      <c r="Y54" s="47"/>
      <c r="Z54" s="47">
        <v>28275</v>
      </c>
      <c r="AA54" s="47"/>
      <c r="AB54" s="47"/>
      <c r="AC54" s="47"/>
      <c r="AD54" s="47"/>
      <c r="AE54" s="47"/>
      <c r="AF54" s="24">
        <f t="shared" si="17"/>
        <v>28275</v>
      </c>
    </row>
    <row r="55" spans="1:36" ht="30" x14ac:dyDescent="0.25">
      <c r="A55" s="10" t="s">
        <v>11</v>
      </c>
      <c r="B55" s="12" t="s">
        <v>33</v>
      </c>
      <c r="C55" s="55">
        <v>147090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46"/>
      <c r="R55" s="46"/>
      <c r="S55" s="46"/>
      <c r="T55" s="46"/>
      <c r="U55" s="46"/>
      <c r="V55" s="46">
        <v>44127</v>
      </c>
      <c r="W55" s="46"/>
      <c r="X55" s="46"/>
      <c r="Y55" s="46"/>
      <c r="Z55" s="46"/>
      <c r="AA55" s="46"/>
      <c r="AB55" s="46">
        <v>102963</v>
      </c>
      <c r="AC55" s="46"/>
      <c r="AD55" s="46"/>
      <c r="AE55" s="46"/>
      <c r="AF55" s="24">
        <f t="shared" si="17"/>
        <v>147090</v>
      </c>
      <c r="AJ55" s="71">
        <f>V55+Z54+AB55</f>
        <v>175365</v>
      </c>
    </row>
    <row r="56" spans="1:36" ht="30" x14ac:dyDescent="0.25">
      <c r="A56" s="10" t="s">
        <v>11</v>
      </c>
      <c r="B56" s="12" t="s">
        <v>23</v>
      </c>
      <c r="C56" s="55">
        <v>37200</v>
      </c>
      <c r="D56" s="30"/>
      <c r="E56" s="30"/>
      <c r="F56" s="30"/>
      <c r="G56" s="30"/>
      <c r="H56" s="30"/>
      <c r="I56" s="30"/>
      <c r="J56" s="30"/>
      <c r="K56" s="30"/>
      <c r="L56" s="30">
        <v>37200</v>
      </c>
      <c r="M56" s="30"/>
      <c r="N56" s="30"/>
      <c r="O56" s="30"/>
      <c r="P56" s="30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24">
        <f t="shared" si="17"/>
        <v>37200</v>
      </c>
    </row>
    <row r="57" spans="1:36" ht="30" x14ac:dyDescent="0.25">
      <c r="A57" s="10" t="s">
        <v>11</v>
      </c>
      <c r="B57" s="12" t="s">
        <v>26</v>
      </c>
      <c r="C57" s="55">
        <v>16000</v>
      </c>
      <c r="D57" s="30"/>
      <c r="E57" s="30"/>
      <c r="F57" s="30"/>
      <c r="G57" s="30"/>
      <c r="H57" s="30"/>
      <c r="I57" s="30"/>
      <c r="J57" s="30"/>
      <c r="K57" s="30"/>
      <c r="L57" s="30">
        <v>16000</v>
      </c>
      <c r="M57" s="30"/>
      <c r="N57" s="30"/>
      <c r="O57" s="30"/>
      <c r="P57" s="30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24">
        <f t="shared" si="17"/>
        <v>16000</v>
      </c>
    </row>
    <row r="58" spans="1:36" ht="30" x14ac:dyDescent="0.25">
      <c r="A58" s="10" t="s">
        <v>11</v>
      </c>
      <c r="B58" s="12" t="s">
        <v>20</v>
      </c>
      <c r="C58" s="56">
        <v>203967.31</v>
      </c>
      <c r="D58" s="30"/>
      <c r="E58" s="30"/>
      <c r="F58" s="30"/>
      <c r="G58" s="30"/>
      <c r="H58" s="30"/>
      <c r="I58" s="30"/>
      <c r="J58" s="30">
        <v>81586.92</v>
      </c>
      <c r="K58" s="30"/>
      <c r="L58" s="30"/>
      <c r="M58" s="30"/>
      <c r="N58" s="30">
        <v>122380.39</v>
      </c>
      <c r="O58" s="30"/>
      <c r="P58" s="30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24">
        <f t="shared" si="17"/>
        <v>203967.31</v>
      </c>
    </row>
    <row r="59" spans="1:36" ht="19.5" thickBot="1" x14ac:dyDescent="0.3">
      <c r="A59" s="35" t="s">
        <v>13</v>
      </c>
      <c r="B59" s="11"/>
      <c r="C59" s="20">
        <f>C58+C57+C56+C55+C54</f>
        <v>432532.31</v>
      </c>
      <c r="D59" s="25">
        <f t="shared" ref="D59:I59" si="18">D51+D52+D53+D55+D58</f>
        <v>0</v>
      </c>
      <c r="E59" s="25">
        <f t="shared" si="18"/>
        <v>0</v>
      </c>
      <c r="F59" s="25">
        <f t="shared" si="18"/>
        <v>0</v>
      </c>
      <c r="G59" s="25">
        <f t="shared" si="18"/>
        <v>0</v>
      </c>
      <c r="H59" s="25">
        <f t="shared" si="18"/>
        <v>21247.200000000001</v>
      </c>
      <c r="I59" s="25">
        <f t="shared" si="18"/>
        <v>21247.200000000001</v>
      </c>
      <c r="J59" s="25">
        <f>J51+J52+J53+J55-J58-J56</f>
        <v>-59914.78</v>
      </c>
      <c r="K59" s="25">
        <f t="shared" ref="K59" si="19">K51+K52+K53+K55-K58-K56</f>
        <v>21672.14</v>
      </c>
      <c r="L59" s="25">
        <f>L51+L52+L53+L55-L58-L56-L57</f>
        <v>-31527.86</v>
      </c>
      <c r="M59" s="25">
        <f t="shared" ref="M59:P59" si="20">M51+M52+M53+M55-M58-M56</f>
        <v>21672.14</v>
      </c>
      <c r="N59" s="25">
        <f t="shared" si="20"/>
        <v>-100708.25</v>
      </c>
      <c r="O59" s="25">
        <f t="shared" si="20"/>
        <v>21672.14</v>
      </c>
      <c r="P59" s="25">
        <f t="shared" si="20"/>
        <v>21672.14</v>
      </c>
      <c r="Q59" s="25">
        <f t="shared" ref="Q59:U59" si="21">Q51+Q52+Q53+Q55-Q58-Q56-Q57</f>
        <v>21672.14</v>
      </c>
      <c r="R59" s="25">
        <f t="shared" si="21"/>
        <v>21672.14</v>
      </c>
      <c r="S59" s="25">
        <f t="shared" si="21"/>
        <v>21672.14</v>
      </c>
      <c r="T59" s="25">
        <f t="shared" si="21"/>
        <v>21672.14</v>
      </c>
      <c r="U59" s="25">
        <f t="shared" si="21"/>
        <v>21672.14</v>
      </c>
      <c r="V59" s="25">
        <f>V51+V52-V53-V55-V58-V56-V57</f>
        <v>-22454.86</v>
      </c>
      <c r="W59" s="25">
        <f>W51+W52-W53-W55-W58-W56-W57</f>
        <v>21672.14</v>
      </c>
      <c r="X59" s="25">
        <f>X51+X52-X53-X55-X58-X56-X57</f>
        <v>21672.14</v>
      </c>
      <c r="Y59" s="25">
        <f>Y51+Y52-Y53-Y55-Y58-Y56-Y57-Y54</f>
        <v>21672.14</v>
      </c>
      <c r="Z59" s="25">
        <f>Z51+Z52-Z53-Z55-Z58-Z56-Z57-Z54</f>
        <v>-6602.8600000000006</v>
      </c>
      <c r="AA59" s="25">
        <f>AA51+AA52-AA53-AA55-AA58-AA56-AA57-AA54</f>
        <v>21672.14</v>
      </c>
      <c r="AB59" s="25">
        <f>AB51+AB52-AB53-AB55-AB58-AB56-AB57-AB54</f>
        <v>-81290.86</v>
      </c>
      <c r="AC59" s="25">
        <f t="shared" ref="AC59:AE59" si="22">AC51+AC52-AC53-AC55-AC58-AC56-AC57-AC54</f>
        <v>21672.14</v>
      </c>
      <c r="AD59" s="25">
        <f t="shared" si="22"/>
        <v>21672.14</v>
      </c>
      <c r="AE59" s="25">
        <f t="shared" si="22"/>
        <v>0</v>
      </c>
      <c r="AF59" s="41">
        <f>AF51+AF52+AF53-AF55-AF58-AF56-AF57-AF54</f>
        <v>65077.030000000144</v>
      </c>
    </row>
    <row r="60" spans="1:36" ht="18.75" x14ac:dyDescent="0.3">
      <c r="A60" s="2" t="s">
        <v>29</v>
      </c>
      <c r="B60" s="14">
        <v>2316.1999999999998</v>
      </c>
      <c r="C60" s="14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49"/>
      <c r="R60" s="49"/>
      <c r="S60" s="49"/>
      <c r="T60" s="49"/>
      <c r="U60" s="49"/>
      <c r="V60" s="49"/>
      <c r="W60" s="48"/>
      <c r="X60" s="48"/>
      <c r="Y60" s="48"/>
      <c r="Z60" s="48"/>
      <c r="AA60" s="48"/>
      <c r="AB60" s="48"/>
      <c r="AC60" s="48"/>
      <c r="AD60" s="48"/>
      <c r="AE60" s="48"/>
      <c r="AF60" s="24">
        <f t="shared" ref="AF60" si="23">SUM(D60:V60)</f>
        <v>0</v>
      </c>
    </row>
    <row r="61" spans="1:36" ht="18.75" x14ac:dyDescent="0.25">
      <c r="A61" s="5" t="s">
        <v>2</v>
      </c>
      <c r="B61" s="21"/>
      <c r="C61" s="15">
        <v>3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>
        <f>C61*B60</f>
        <v>6948.5999999999995</v>
      </c>
      <c r="V61" s="23">
        <v>6948.6</v>
      </c>
      <c r="W61" s="23">
        <v>6948.6</v>
      </c>
      <c r="X61" s="23">
        <v>6948.6</v>
      </c>
      <c r="Y61" s="23">
        <v>6948.6</v>
      </c>
      <c r="Z61" s="23">
        <v>6948.6</v>
      </c>
      <c r="AA61" s="23">
        <v>6948.6</v>
      </c>
      <c r="AB61" s="23">
        <v>6948.6</v>
      </c>
      <c r="AC61" s="23">
        <v>6948.6</v>
      </c>
      <c r="AD61" s="23">
        <v>6948.6</v>
      </c>
      <c r="AE61" s="46"/>
      <c r="AF61" s="24">
        <f>SUM(D61:AE61)</f>
        <v>69486</v>
      </c>
    </row>
    <row r="62" spans="1:36" ht="45" x14ac:dyDescent="0.25">
      <c r="A62" s="5" t="s">
        <v>3</v>
      </c>
      <c r="B62" s="40" t="s">
        <v>79</v>
      </c>
      <c r="C62" s="15">
        <v>185.3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4">
        <f t="shared" ref="AF62:AF68" si="24">SUM(D62:AE62)</f>
        <v>0</v>
      </c>
    </row>
    <row r="63" spans="1:36" ht="18.75" x14ac:dyDescent="0.25">
      <c r="A63" s="5" t="s">
        <v>4</v>
      </c>
      <c r="B63" s="8"/>
      <c r="C63" s="15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24">
        <f t="shared" si="24"/>
        <v>0</v>
      </c>
    </row>
    <row r="64" spans="1:36" ht="18.75" x14ac:dyDescent="0.25">
      <c r="A64" s="5" t="s">
        <v>5</v>
      </c>
      <c r="B64" s="8"/>
      <c r="C64" s="15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24">
        <f t="shared" si="24"/>
        <v>0</v>
      </c>
    </row>
    <row r="65" spans="1:36" ht="75" x14ac:dyDescent="0.25">
      <c r="A65" s="52" t="s">
        <v>44</v>
      </c>
      <c r="B65" s="12" t="s">
        <v>45</v>
      </c>
      <c r="C65" s="57">
        <v>9000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47"/>
      <c r="T65" s="47"/>
      <c r="U65" s="47"/>
      <c r="V65" s="47"/>
      <c r="W65" s="47"/>
      <c r="X65" s="47"/>
      <c r="Y65" s="47"/>
      <c r="Z65" s="47">
        <v>9000</v>
      </c>
      <c r="AA65" s="47"/>
      <c r="AB65" s="47"/>
      <c r="AC65" s="47"/>
      <c r="AD65" s="47"/>
      <c r="AE65" s="47"/>
      <c r="AF65" s="24">
        <f t="shared" si="24"/>
        <v>9000</v>
      </c>
      <c r="AJ65" s="71">
        <f>V66+Y66+Z65</f>
        <v>127693.6</v>
      </c>
    </row>
    <row r="66" spans="1:36" ht="30" x14ac:dyDescent="0.25">
      <c r="A66" s="10" t="s">
        <v>11</v>
      </c>
      <c r="B66" s="12" t="s">
        <v>34</v>
      </c>
      <c r="C66" s="55">
        <v>118693.6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47"/>
      <c r="R66" s="47"/>
      <c r="S66" s="47"/>
      <c r="T66" s="47"/>
      <c r="U66" s="47"/>
      <c r="V66" s="47">
        <v>25551.9</v>
      </c>
      <c r="W66" s="47"/>
      <c r="X66" s="47"/>
      <c r="Y66" s="47">
        <v>93141.7</v>
      </c>
      <c r="Z66" s="47"/>
      <c r="AA66" s="47"/>
      <c r="AB66" s="47"/>
      <c r="AC66" s="47"/>
      <c r="AD66" s="47"/>
      <c r="AE66" s="47"/>
      <c r="AF66" s="24">
        <f t="shared" si="24"/>
        <v>118693.6</v>
      </c>
    </row>
    <row r="67" spans="1:36" ht="18.75" x14ac:dyDescent="0.25">
      <c r="A67" s="10" t="s">
        <v>11</v>
      </c>
      <c r="B67" s="12" t="s">
        <v>39</v>
      </c>
      <c r="C67" s="15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24">
        <f t="shared" si="24"/>
        <v>0</v>
      </c>
    </row>
    <row r="68" spans="1:36" ht="18.75" x14ac:dyDescent="0.25">
      <c r="A68" s="10" t="s">
        <v>11</v>
      </c>
      <c r="B68" s="12"/>
      <c r="C68" s="3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24">
        <f t="shared" si="24"/>
        <v>0</v>
      </c>
    </row>
    <row r="69" spans="1:36" ht="19.5" thickBot="1" x14ac:dyDescent="0.3">
      <c r="A69" s="35" t="s">
        <v>13</v>
      </c>
      <c r="B69" s="11"/>
      <c r="C69" s="20">
        <f>C68+C67+C66+C65</f>
        <v>127693.6</v>
      </c>
      <c r="D69" s="25">
        <f t="shared" ref="D69:I69" si="25">D61+D62+D63+D64+D68</f>
        <v>0</v>
      </c>
      <c r="E69" s="25">
        <f t="shared" si="25"/>
        <v>0</v>
      </c>
      <c r="F69" s="25">
        <f t="shared" si="25"/>
        <v>0</v>
      </c>
      <c r="G69" s="25">
        <f t="shared" si="25"/>
        <v>0</v>
      </c>
      <c r="H69" s="25">
        <f t="shared" si="25"/>
        <v>0</v>
      </c>
      <c r="I69" s="25">
        <f t="shared" si="25"/>
        <v>0</v>
      </c>
      <c r="J69" s="25">
        <f>J61+J62+J63+J64-J68-J66</f>
        <v>0</v>
      </c>
      <c r="K69" s="25">
        <f t="shared" ref="K69" si="26">K61+K62+K63+K64-K68-K66</f>
        <v>0</v>
      </c>
      <c r="L69" s="25">
        <f>L61+L62+L63+L64-L68-L66-L67</f>
        <v>0</v>
      </c>
      <c r="M69" s="25">
        <f t="shared" ref="M69:P69" si="27">M61+M62+M63+M64-M68-M66</f>
        <v>0</v>
      </c>
      <c r="N69" s="25">
        <f t="shared" si="27"/>
        <v>0</v>
      </c>
      <c r="O69" s="25">
        <f t="shared" si="27"/>
        <v>0</v>
      </c>
      <c r="P69" s="25">
        <f t="shared" si="27"/>
        <v>0</v>
      </c>
      <c r="Q69" s="25">
        <f t="shared" ref="Q69:T69" si="28">Q61+Q62+Q63+Q64-Q68-Q66-Q67</f>
        <v>0</v>
      </c>
      <c r="R69" s="25">
        <f t="shared" si="28"/>
        <v>0</v>
      </c>
      <c r="S69" s="25">
        <f t="shared" si="28"/>
        <v>0</v>
      </c>
      <c r="T69" s="25">
        <f t="shared" si="28"/>
        <v>0</v>
      </c>
      <c r="U69" s="25">
        <f>U61+U62+U63+U64-U68-U66-U67</f>
        <v>6948.5999999999995</v>
      </c>
      <c r="V69" s="25">
        <f t="shared" ref="V69:X69" si="29">V61+V62+V63+V64-V68-V66-V67</f>
        <v>-18603.300000000003</v>
      </c>
      <c r="W69" s="25">
        <f t="shared" si="29"/>
        <v>6948.6</v>
      </c>
      <c r="X69" s="25">
        <f t="shared" si="29"/>
        <v>6948.6</v>
      </c>
      <c r="Y69" s="25">
        <f>Y61+Y62+Y63+Y64-Y68-Y66-Y67-Y65</f>
        <v>-86193.099999999991</v>
      </c>
      <c r="Z69" s="25">
        <f>Z61+Z62+Z63+Z64-Z68-Z66-Z67-Z65</f>
        <v>-2051.3999999999996</v>
      </c>
      <c r="AA69" s="25">
        <f>AA61+AA62+AA63+AA64-AA68-AA66-AA67-AA65</f>
        <v>6948.6</v>
      </c>
      <c r="AB69" s="25">
        <f>AB61+AB62+AB63+AB64-AB68-AB66-AB67-AB65</f>
        <v>6948.6</v>
      </c>
      <c r="AC69" s="25">
        <f t="shared" ref="AC69:AE69" si="30">AC61+AC62+AC63+AC64-AC68-AC66-AC67-AC65</f>
        <v>6948.6</v>
      </c>
      <c r="AD69" s="25">
        <f t="shared" si="30"/>
        <v>6948.6</v>
      </c>
      <c r="AE69" s="25">
        <f t="shared" si="30"/>
        <v>0</v>
      </c>
      <c r="AF69" s="41">
        <f>AF61+AF62+AF63+AF64-AF68-AF66-AF67-AF65</f>
        <v>-58207.600000000006</v>
      </c>
    </row>
    <row r="70" spans="1:36" ht="18.75" x14ac:dyDescent="0.3">
      <c r="A70" s="2" t="s">
        <v>38</v>
      </c>
      <c r="B70" s="14">
        <v>15484.8</v>
      </c>
      <c r="C70" s="14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49"/>
      <c r="R70" s="49"/>
      <c r="S70" s="49"/>
      <c r="T70" s="49"/>
      <c r="U70" s="49"/>
      <c r="V70" s="49"/>
      <c r="W70" s="48"/>
      <c r="X70" s="48"/>
      <c r="Y70" s="48"/>
      <c r="Z70" s="48"/>
      <c r="AA70" s="48"/>
      <c r="AB70" s="48"/>
      <c r="AC70" s="48"/>
      <c r="AD70" s="48"/>
      <c r="AE70" s="48"/>
      <c r="AF70" s="24">
        <f t="shared" ref="AF70" si="31">SUM(D70:V70)</f>
        <v>0</v>
      </c>
    </row>
    <row r="71" spans="1:36" ht="18.75" x14ac:dyDescent="0.25">
      <c r="A71" s="5" t="s">
        <v>2</v>
      </c>
      <c r="B71" s="21"/>
      <c r="C71" s="15">
        <v>4.5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>
        <v>69681.600000000006</v>
      </c>
      <c r="Y71" s="23">
        <v>69681.600000000006</v>
      </c>
      <c r="Z71" s="23">
        <v>69681.600000000006</v>
      </c>
      <c r="AA71" s="23">
        <v>69681.600000000006</v>
      </c>
      <c r="AB71" s="23">
        <v>69681.600000000006</v>
      </c>
      <c r="AC71" s="23">
        <v>69681.600000000006</v>
      </c>
      <c r="AD71" s="23">
        <v>69681.600000000006</v>
      </c>
      <c r="AE71" s="46"/>
      <c r="AF71" s="24">
        <f>SUM(D71:AE71)</f>
        <v>487771.19999999995</v>
      </c>
    </row>
    <row r="72" spans="1:36" ht="45" x14ac:dyDescent="0.25">
      <c r="A72" s="5" t="s">
        <v>3</v>
      </c>
      <c r="B72" s="40" t="s">
        <v>79</v>
      </c>
      <c r="C72" s="15">
        <v>1238.78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46"/>
      <c r="W72" s="46"/>
      <c r="X72" s="46"/>
      <c r="Y72" s="46"/>
      <c r="Z72" s="46"/>
      <c r="AA72" s="46"/>
      <c r="AB72" s="46">
        <v>1238.78</v>
      </c>
      <c r="AC72" s="46">
        <v>1238.78</v>
      </c>
      <c r="AD72" s="46">
        <v>1238.78</v>
      </c>
      <c r="AE72" s="46"/>
      <c r="AF72" s="24">
        <f t="shared" ref="AF72:AF79" si="32">SUM(D72:AE72)</f>
        <v>3716.34</v>
      </c>
    </row>
    <row r="73" spans="1:36" ht="18.75" x14ac:dyDescent="0.25">
      <c r="A73" s="5" t="s">
        <v>4</v>
      </c>
      <c r="B73" s="8"/>
      <c r="C73" s="15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1">
        <v>3275.83</v>
      </c>
      <c r="AE73" s="46"/>
      <c r="AF73" s="24">
        <f t="shared" si="32"/>
        <v>3275.83</v>
      </c>
    </row>
    <row r="74" spans="1:36" ht="18.75" x14ac:dyDescent="0.25">
      <c r="A74" s="5" t="s">
        <v>5</v>
      </c>
      <c r="B74" s="8"/>
      <c r="C74" s="15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24">
        <f t="shared" si="32"/>
        <v>0</v>
      </c>
    </row>
    <row r="75" spans="1:36" ht="90" x14ac:dyDescent="0.25">
      <c r="A75" s="52" t="s">
        <v>60</v>
      </c>
      <c r="B75" s="12" t="s">
        <v>61</v>
      </c>
      <c r="C75" s="55"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24">
        <f>SUM(D75:AE75)</f>
        <v>0</v>
      </c>
    </row>
    <row r="76" spans="1:36" ht="90" x14ac:dyDescent="0.25">
      <c r="A76" s="52" t="s">
        <v>58</v>
      </c>
      <c r="B76" s="12" t="s">
        <v>59</v>
      </c>
      <c r="C76" s="55">
        <v>54570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>
        <v>54570</v>
      </c>
      <c r="AD76" s="47"/>
      <c r="AE76" s="47"/>
      <c r="AF76" s="24">
        <f>SUM(D76:AE76)</f>
        <v>54570</v>
      </c>
      <c r="AJ76" s="71">
        <f>AA77+Z78+AB79</f>
        <v>94580</v>
      </c>
    </row>
    <row r="77" spans="1:36" ht="60" x14ac:dyDescent="0.25">
      <c r="A77" s="52" t="s">
        <v>48</v>
      </c>
      <c r="B77" s="12" t="s">
        <v>51</v>
      </c>
      <c r="C77" s="55">
        <v>54100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>
        <v>54100</v>
      </c>
      <c r="AB77" s="47"/>
      <c r="AC77" s="47"/>
      <c r="AD77" s="47"/>
      <c r="AE77" s="47"/>
      <c r="AF77" s="24">
        <f t="shared" si="32"/>
        <v>54100</v>
      </c>
    </row>
    <row r="78" spans="1:36" ht="45" x14ac:dyDescent="0.25">
      <c r="A78" s="52" t="s">
        <v>49</v>
      </c>
      <c r="B78" s="12" t="s">
        <v>50</v>
      </c>
      <c r="C78" s="55">
        <v>20000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47"/>
      <c r="R78" s="47"/>
      <c r="S78" s="47"/>
      <c r="T78" s="47"/>
      <c r="U78" s="47"/>
      <c r="V78" s="47"/>
      <c r="W78" s="47"/>
      <c r="X78" s="47"/>
      <c r="Y78" s="47"/>
      <c r="Z78" s="47">
        <v>20000</v>
      </c>
      <c r="AA78" s="54"/>
      <c r="AB78" s="54"/>
      <c r="AC78" s="54"/>
      <c r="AD78" s="54"/>
      <c r="AE78" s="54"/>
      <c r="AF78" s="24">
        <f t="shared" si="32"/>
        <v>20000</v>
      </c>
    </row>
    <row r="79" spans="1:36" ht="75" x14ac:dyDescent="0.25">
      <c r="A79" s="52" t="s">
        <v>62</v>
      </c>
      <c r="B79" s="12" t="s">
        <v>63</v>
      </c>
      <c r="C79" s="56">
        <v>20480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>
        <v>20480</v>
      </c>
      <c r="AC79" s="47"/>
      <c r="AD79" s="47"/>
      <c r="AE79" s="47"/>
      <c r="AF79" s="24">
        <f t="shared" si="32"/>
        <v>20480</v>
      </c>
    </row>
    <row r="80" spans="1:36" ht="19.5" thickBot="1" x14ac:dyDescent="0.3">
      <c r="A80" s="35" t="s">
        <v>13</v>
      </c>
      <c r="B80" s="11"/>
      <c r="C80" s="20">
        <f>C77+C78+C79+C74+C76+C75</f>
        <v>149150</v>
      </c>
      <c r="D80" s="25">
        <f t="shared" ref="D80:I80" si="33">D71+D72+D73+D74+D79</f>
        <v>0</v>
      </c>
      <c r="E80" s="25">
        <f t="shared" si="33"/>
        <v>0</v>
      </c>
      <c r="F80" s="25">
        <f t="shared" si="33"/>
        <v>0</v>
      </c>
      <c r="G80" s="25">
        <f t="shared" si="33"/>
        <v>0</v>
      </c>
      <c r="H80" s="25">
        <f t="shared" si="33"/>
        <v>0</v>
      </c>
      <c r="I80" s="25">
        <f t="shared" si="33"/>
        <v>0</v>
      </c>
      <c r="J80" s="25">
        <f>J71+J72+J73+J74-J79-J77</f>
        <v>0</v>
      </c>
      <c r="K80" s="25">
        <f t="shared" ref="K80:P80" si="34">K71+K72+K73+K74-K79-K77</f>
        <v>0</v>
      </c>
      <c r="L80" s="25">
        <f>L71+L72+L73+L74-L79-L77-L78</f>
        <v>0</v>
      </c>
      <c r="M80" s="25">
        <f t="shared" si="34"/>
        <v>0</v>
      </c>
      <c r="N80" s="25">
        <f t="shared" si="34"/>
        <v>0</v>
      </c>
      <c r="O80" s="25">
        <f t="shared" si="34"/>
        <v>0</v>
      </c>
      <c r="P80" s="25">
        <f t="shared" si="34"/>
        <v>0</v>
      </c>
      <c r="Q80" s="25">
        <f t="shared" ref="Q80:X80" si="35">Q71+Q72+Q73+Q74-Q79-Q77-Q78</f>
        <v>0</v>
      </c>
      <c r="R80" s="25">
        <f t="shared" si="35"/>
        <v>0</v>
      </c>
      <c r="S80" s="25">
        <f t="shared" si="35"/>
        <v>0</v>
      </c>
      <c r="T80" s="25">
        <f t="shared" si="35"/>
        <v>0</v>
      </c>
      <c r="U80" s="25">
        <f>U71+U72+U73+U74-U79-U77-U78</f>
        <v>0</v>
      </c>
      <c r="V80" s="25">
        <f t="shared" si="35"/>
        <v>0</v>
      </c>
      <c r="W80" s="25">
        <f t="shared" si="35"/>
        <v>0</v>
      </c>
      <c r="X80" s="25">
        <f t="shared" si="35"/>
        <v>69681.600000000006</v>
      </c>
      <c r="Y80" s="25">
        <f>Y71+Y72+Y73+Y74-Y79-Y77-Y78</f>
        <v>69681.600000000006</v>
      </c>
      <c r="Z80" s="25">
        <f>Z71+Z72+Z73+Z74-Z79-Z77-Z78</f>
        <v>49681.600000000006</v>
      </c>
      <c r="AA80" s="25">
        <f>AA71+AA72+AA73+AA74-AA79-AA77-AA78</f>
        <v>15581.600000000006</v>
      </c>
      <c r="AB80" s="25">
        <f>AB71+AB72+AB73+AB74-AB79-AB77-AB78</f>
        <v>50440.380000000005</v>
      </c>
      <c r="AC80" s="25">
        <f>AC71+AC72+AC73+AC74-AC79-AC77-AC78-AC75-AC76</f>
        <v>16350.380000000005</v>
      </c>
      <c r="AD80" s="25">
        <f t="shared" ref="AD80:AE80" si="36">AD71+AD72+AD73+AD74-AD79-AD77-AD78</f>
        <v>74196.210000000006</v>
      </c>
      <c r="AE80" s="25">
        <f t="shared" si="36"/>
        <v>0</v>
      </c>
      <c r="AF80" s="24">
        <f>AF71+AF72+AF73+AF74-AF76-AF77-AF78-AF79-AF75</f>
        <v>345613.37</v>
      </c>
    </row>
    <row r="81" spans="1:36" ht="45.75" thickBot="1" x14ac:dyDescent="0.3">
      <c r="A81" s="36" t="s">
        <v>16</v>
      </c>
      <c r="B81" s="32"/>
      <c r="C81" s="53">
        <f>C15+C30+C40+C49+C80+C59+C69</f>
        <v>3297290.3</v>
      </c>
      <c r="D81" s="33">
        <f t="shared" ref="D81:X81" si="37">D15+D30+D40+D80+D49+D59</f>
        <v>26767</v>
      </c>
      <c r="E81" s="33">
        <f t="shared" si="37"/>
        <v>51157.5</v>
      </c>
      <c r="F81" s="33">
        <f t="shared" si="37"/>
        <v>51157.5</v>
      </c>
      <c r="G81" s="33">
        <f t="shared" si="37"/>
        <v>51157.5</v>
      </c>
      <c r="H81" s="33">
        <f t="shared" si="37"/>
        <v>72404.7</v>
      </c>
      <c r="I81" s="33">
        <f t="shared" si="37"/>
        <v>96183.4</v>
      </c>
      <c r="J81" s="33">
        <f t="shared" si="37"/>
        <v>-37428.780000000006</v>
      </c>
      <c r="K81" s="33">
        <f t="shared" si="37"/>
        <v>-45276.210000000006</v>
      </c>
      <c r="L81" s="33">
        <f t="shared" si="37"/>
        <v>-115005.81000000001</v>
      </c>
      <c r="M81" s="33">
        <f t="shared" si="37"/>
        <v>-25213.839999999997</v>
      </c>
      <c r="N81" s="33">
        <f t="shared" si="37"/>
        <v>-5391.3999999999942</v>
      </c>
      <c r="O81" s="33">
        <f t="shared" si="37"/>
        <v>6601.0199999999968</v>
      </c>
      <c r="P81" s="33">
        <f t="shared" si="37"/>
        <v>61489.99</v>
      </c>
      <c r="Q81" s="33">
        <f t="shared" si="37"/>
        <v>126988.99</v>
      </c>
      <c r="R81" s="33">
        <f t="shared" si="37"/>
        <v>84878.989999999991</v>
      </c>
      <c r="S81" s="33">
        <f t="shared" si="37"/>
        <v>125838.99</v>
      </c>
      <c r="T81" s="33">
        <f t="shared" si="37"/>
        <v>126988.99</v>
      </c>
      <c r="U81" s="33">
        <f t="shared" si="37"/>
        <v>125388.99</v>
      </c>
      <c r="V81" s="33">
        <f t="shared" si="37"/>
        <v>-135983.76</v>
      </c>
      <c r="W81" s="33">
        <f t="shared" si="37"/>
        <v>-257013.75</v>
      </c>
      <c r="X81" s="33">
        <f t="shared" si="37"/>
        <v>135416.46000000002</v>
      </c>
      <c r="Y81" s="33">
        <f t="shared" ref="Y81:AE81" si="38">Y15+Y30+Y40+Y80+Y49+Y59+Y69</f>
        <v>-90776.639999999985</v>
      </c>
      <c r="Z81" s="33">
        <f t="shared" si="38"/>
        <v>-57523.44</v>
      </c>
      <c r="AA81" s="33">
        <f t="shared" si="38"/>
        <v>-23734.940000000002</v>
      </c>
      <c r="AB81" s="33">
        <f t="shared" si="38"/>
        <v>-18712.79</v>
      </c>
      <c r="AC81" s="33">
        <f t="shared" si="38"/>
        <v>-58288.390000000007</v>
      </c>
      <c r="AD81" s="33">
        <f t="shared" si="38"/>
        <v>-39993.960000000014</v>
      </c>
      <c r="AE81" s="33">
        <f t="shared" si="38"/>
        <v>-200000</v>
      </c>
      <c r="AF81" s="51">
        <f>AF15+AF30+AF40+AF80+AF49+AF69+AF59</f>
        <v>106157.0700000003</v>
      </c>
      <c r="AH81" s="38"/>
      <c r="AI81">
        <f>AB71+AB61+AB51+AB52+AB42+AB32+AB33+AB17+AB18+AB19+AB5+AB6+AB7+AC9+AB8</f>
        <v>214929.87</v>
      </c>
    </row>
    <row r="83" spans="1:36" x14ac:dyDescent="0.25">
      <c r="B83">
        <v>2020</v>
      </c>
      <c r="C83">
        <f>C13+C14+C29+C27+C39+C38+C48+C47+C58+C57+C56</f>
        <v>977111.10999999987</v>
      </c>
      <c r="W83">
        <f>X24+W25+W26+W45+W46</f>
        <v>382402.74</v>
      </c>
    </row>
    <row r="84" spans="1:36" x14ac:dyDescent="0.25">
      <c r="B84">
        <v>2021</v>
      </c>
      <c r="C84">
        <f>C11+C12+C23+C24+C25+C26+C36+C37+C44+C45+C54+C55+C65+C66+C77+C78+C79</f>
        <v>1594364.59</v>
      </c>
      <c r="Y84">
        <f>Y24+Y25+Y36+Y44+Y66</f>
        <v>293141.7</v>
      </c>
      <c r="Z84">
        <f>Z11+Z12+Z26+Z36+Z44+Z54+Z65</f>
        <v>239888.5</v>
      </c>
      <c r="AA84">
        <f>AA11+AA12+AA26+AA36+AA44+AA54+AA65</f>
        <v>100000</v>
      </c>
      <c r="AB84">
        <f>AB11+AB12+AB26+AB36+AB44+AB54+AB65</f>
        <v>0</v>
      </c>
    </row>
    <row r="85" spans="1:36" x14ac:dyDescent="0.25">
      <c r="X85">
        <f>X5+X6+X7+X17+X18+X19+X32+X33+X42+X51+X52+X61+X71</f>
        <v>202019.19</v>
      </c>
    </row>
    <row r="86" spans="1:36" x14ac:dyDescent="0.25">
      <c r="AH86" t="s">
        <v>84</v>
      </c>
      <c r="AJ86">
        <f>AJ12+AJ21+AJ37+AJ46+AJ55+AJ65+AJ76</f>
        <v>1715160.59</v>
      </c>
    </row>
    <row r="87" spans="1:36" x14ac:dyDescent="0.25">
      <c r="S87" s="50"/>
      <c r="AH87" t="s">
        <v>85</v>
      </c>
      <c r="AJ87">
        <f>AF36+AF45+AF78</f>
        <v>217755.74</v>
      </c>
    </row>
  </sheetData>
  <mergeCells count="8">
    <mergeCell ref="A1:AF1"/>
    <mergeCell ref="A2:A3"/>
    <mergeCell ref="B2:B3"/>
    <mergeCell ref="C2:C3"/>
    <mergeCell ref="D2:P2"/>
    <mergeCell ref="Q2:AB2"/>
    <mergeCell ref="AC2:AE2"/>
    <mergeCell ref="AF2:A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2023-12-07T09:29:45Z</dcterms:modified>
</cp:coreProperties>
</file>